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3.xml" ContentType="application/vnd.openxmlformats-officedocument.spreadsheetml.pivotTable+xml"/>
  <Override PartName="/xl/drawings/drawing7.xml" ContentType="application/vnd.openxmlformats-officedocument.drawing+xml"/>
  <Override PartName="/xl/tables/table10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4.xml" ContentType="application/vnd.openxmlformats-officedocument.spreadsheetml.pivot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drawings/drawing8.xml" ContentType="application/vnd.openxmlformats-officedocument.drawing+xml"/>
  <Override PartName="/xl/tables/table14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Ex1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drawings/drawing9.xml" ContentType="application/vnd.openxmlformats-officedocument.drawing+xml"/>
  <Override PartName="/xl/tables/table19.xml" ContentType="application/vnd.openxmlformats-officedocument.spreadsheetml.tab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tables/table20.xml" ContentType="application/vnd.openxmlformats-officedocument.spreadsheetml.table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1.xml" ContentType="application/vnd.openxmlformats-officedocument.drawing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2.xml" ContentType="application/vnd.openxmlformats-officedocument.drawing+xml"/>
  <Override PartName="/xl/tables/table21.xml" ContentType="application/vnd.openxmlformats-officedocument.spreadsheetml.tab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utpac-my.sharepoint.com/personal/marcos_flores_utp_ac_pa/Documents/Maestria/5 - Modelos Predictivos/Proyecto final/"/>
    </mc:Choice>
  </mc:AlternateContent>
  <xr:revisionPtr revIDLastSave="5611" documentId="8_{F1D29269-4713-4477-AE5D-76F6C7A534B9}" xr6:coauthVersionLast="47" xr6:coauthVersionMax="47" xr10:uidLastSave="{8573EAC5-2314-4177-A3DD-A306C31C630F}"/>
  <bookViews>
    <workbookView xWindow="57480" yWindow="-120" windowWidth="29040" windowHeight="16440" activeTab="1" xr2:uid="{6A071571-5719-4355-9428-D611B1D539E1}"/>
  </bookViews>
  <sheets>
    <sheet name="Fuente " sheetId="13" r:id="rId1"/>
    <sheet name="Data" sheetId="3" r:id="rId2"/>
    <sheet name="MDC" sheetId="4" r:id="rId3"/>
    <sheet name="Pivote UE" sheetId="17" r:id="rId4"/>
    <sheet name="Pivote US" sheetId="19" r:id="rId5"/>
    <sheet name="UE Años" sheetId="20" r:id="rId6"/>
    <sheet name="US Años" sheetId="23" r:id="rId7"/>
    <sheet name="Year UE Autocorelacion" sheetId="44" r:id="rId8"/>
    <sheet name="Year US Autocorelacion" sheetId="32" r:id="rId9"/>
    <sheet name="XQ US" sheetId="24" r:id="rId10"/>
    <sheet name="YQ US" sheetId="26" r:id="rId11"/>
    <sheet name="MDC UE" sheetId="10" r:id="rId12"/>
    <sheet name="MDC US" sheetId="8" r:id="rId13"/>
    <sheet name="MDC US YQ" sheetId="27" r:id="rId14"/>
    <sheet name="Year Analys US" sheetId="28" r:id="rId15"/>
    <sheet name="YAUS Est. Nivel y Tendencia" sheetId="37" state="hidden" r:id="rId16"/>
    <sheet name="Regre_YAUS" sheetId="35" r:id="rId17"/>
    <sheet name="YAUS Promedio Movil " sheetId="31" r:id="rId18"/>
    <sheet name="YAUS Suav Exp. simple" sheetId="33" r:id="rId19"/>
    <sheet name="YAUS Holt" sheetId="34" r:id="rId20"/>
    <sheet name="Regre. Cuadritica YAUS" sheetId="41" r:id="rId21"/>
    <sheet name="Regr.Cubica YAUS" sheetId="43" r:id="rId22"/>
    <sheet name="Regr. Polimial cuadrica" sheetId="40" r:id="rId23"/>
    <sheet name="Regr. Polimial cubica" sheetId="42" r:id="rId24"/>
    <sheet name="Reg YQ US" sheetId="29" r:id="rId25"/>
    <sheet name=" 1 Resumen YAUS" sheetId="38" r:id="rId26"/>
    <sheet name="Quarter Analys US" sheetId="30" r:id="rId27"/>
  </sheets>
  <definedNames>
    <definedName name="_xlnm._FilterDatabase" localSheetId="10" hidden="1">'YQ US'!$A$3:$S$63</definedName>
    <definedName name="_xlchart.v1.0" hidden="1">'Year Analys US'!$B$2:$B$60</definedName>
    <definedName name="_xlchart.v1.1" hidden="1">'Year Analys US'!$C$1</definedName>
    <definedName name="_xlchart.v1.2" hidden="1">'Year Analys US'!$C$2:$C$60</definedName>
    <definedName name="_xlchart.v1.3" hidden="1">'Year Analys US'!$D$1</definedName>
    <definedName name="_xlchart.v1.4" hidden="1">'Year Analys US'!$D$2:$D$60</definedName>
    <definedName name="solver_adj" localSheetId="19" hidden="1">'YAUS Holt'!$O$2:$O$3</definedName>
    <definedName name="solver_adj" localSheetId="18" hidden="1">'YAUS Suav Exp. simple'!$N$4</definedName>
    <definedName name="solver_cvg" localSheetId="19" hidden="1">0.0001</definedName>
    <definedName name="solver_cvg" localSheetId="18" hidden="1">0.0001</definedName>
    <definedName name="solver_drv" localSheetId="19" hidden="1">1</definedName>
    <definedName name="solver_drv" localSheetId="18" hidden="1">1</definedName>
    <definedName name="solver_eng" localSheetId="19" hidden="1">3</definedName>
    <definedName name="solver_eng" localSheetId="18" hidden="1">3</definedName>
    <definedName name="solver_est" localSheetId="19" hidden="1">1</definedName>
    <definedName name="solver_est" localSheetId="18" hidden="1">1</definedName>
    <definedName name="solver_itr" localSheetId="19" hidden="1">2147483647</definedName>
    <definedName name="solver_itr" localSheetId="18" hidden="1">2147483647</definedName>
    <definedName name="solver_lhs1" localSheetId="19" hidden="1">'YAUS Holt'!$O$2</definedName>
    <definedName name="solver_lhs1" localSheetId="18" hidden="1">'YAUS Suav Exp. simple'!$N$4</definedName>
    <definedName name="solver_lhs2" localSheetId="19" hidden="1">'YAUS Holt'!$O$3</definedName>
    <definedName name="solver_mip" localSheetId="19" hidden="1">2147483647</definedName>
    <definedName name="solver_mip" localSheetId="18" hidden="1">2147483647</definedName>
    <definedName name="solver_mni" localSheetId="19" hidden="1">30</definedName>
    <definedName name="solver_mni" localSheetId="18" hidden="1">30</definedName>
    <definedName name="solver_mrt" localSheetId="19" hidden="1">0.075</definedName>
    <definedName name="solver_mrt" localSheetId="18" hidden="1">0.075</definedName>
    <definedName name="solver_msl" localSheetId="19" hidden="1">2</definedName>
    <definedName name="solver_msl" localSheetId="18" hidden="1">2</definedName>
    <definedName name="solver_neg" localSheetId="19" hidden="1">1</definedName>
    <definedName name="solver_neg" localSheetId="18" hidden="1">1</definedName>
    <definedName name="solver_nod" localSheetId="19" hidden="1">2147483647</definedName>
    <definedName name="solver_nod" localSheetId="18" hidden="1">2147483647</definedName>
    <definedName name="solver_num" localSheetId="19" hidden="1">2</definedName>
    <definedName name="solver_num" localSheetId="18" hidden="1">1</definedName>
    <definedName name="solver_nwt" localSheetId="19" hidden="1">1</definedName>
    <definedName name="solver_nwt" localSheetId="18" hidden="1">1</definedName>
    <definedName name="solver_opt" localSheetId="19" hidden="1">'YAUS Holt'!$H$60</definedName>
    <definedName name="solver_opt" localSheetId="18" hidden="1">'YAUS Suav Exp. simple'!$G$61</definedName>
    <definedName name="solver_pre" localSheetId="19" hidden="1">0.000001</definedName>
    <definedName name="solver_pre" localSheetId="18" hidden="1">0.000001</definedName>
    <definedName name="solver_rbv" localSheetId="19" hidden="1">1</definedName>
    <definedName name="solver_rbv" localSheetId="18" hidden="1">1</definedName>
    <definedName name="solver_rel1" localSheetId="19" hidden="1">1</definedName>
    <definedName name="solver_rel1" localSheetId="18" hidden="1">1</definedName>
    <definedName name="solver_rel2" localSheetId="19" hidden="1">1</definedName>
    <definedName name="solver_rhs1" localSheetId="19" hidden="1">1</definedName>
    <definedName name="solver_rhs1" localSheetId="18" hidden="1">1</definedName>
    <definedName name="solver_rhs2" localSheetId="19" hidden="1">1</definedName>
    <definedName name="solver_rlx" localSheetId="19" hidden="1">2</definedName>
    <definedName name="solver_rlx" localSheetId="18" hidden="1">2</definedName>
    <definedName name="solver_rsd" localSheetId="19" hidden="1">0</definedName>
    <definedName name="solver_rsd" localSheetId="18" hidden="1">0</definedName>
    <definedName name="solver_scl" localSheetId="19" hidden="1">1</definedName>
    <definedName name="solver_scl" localSheetId="18" hidden="1">1</definedName>
    <definedName name="solver_sho" localSheetId="19" hidden="1">2</definedName>
    <definedName name="solver_sho" localSheetId="18" hidden="1">2</definedName>
    <definedName name="solver_ssz" localSheetId="19" hidden="1">100</definedName>
    <definedName name="solver_ssz" localSheetId="18" hidden="1">100</definedName>
    <definedName name="solver_tim" localSheetId="19" hidden="1">2147483647</definedName>
    <definedName name="solver_tim" localSheetId="18" hidden="1">2147483647</definedName>
    <definedName name="solver_tol" localSheetId="19" hidden="1">0.01</definedName>
    <definedName name="solver_tol" localSheetId="18" hidden="1">0.01</definedName>
    <definedName name="solver_typ" localSheetId="19" hidden="1">2</definedName>
    <definedName name="solver_typ" localSheetId="18" hidden="1">2</definedName>
    <definedName name="solver_val" localSheetId="19" hidden="1">0</definedName>
    <definedName name="solver_val" localSheetId="18" hidden="1">0</definedName>
    <definedName name="solver_ver" localSheetId="19" hidden="1">3</definedName>
    <definedName name="solver_ver" localSheetId="18" hidden="1">3</definedName>
  </definedNames>
  <calcPr calcId="191029"/>
  <pivotCaches>
    <pivotCache cacheId="0" r:id="rId28"/>
    <pivotCache cacheId="1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" i="42" l="1"/>
  <c r="E63" i="42"/>
  <c r="E64" i="42"/>
  <c r="E65" i="42"/>
  <c r="E66" i="42"/>
  <c r="E67" i="42"/>
  <c r="E68" i="42"/>
  <c r="E69" i="42"/>
  <c r="E61" i="42"/>
  <c r="R7" i="40"/>
  <c r="Q7" i="40"/>
  <c r="H2" i="44"/>
  <c r="H61" i="44"/>
  <c r="D66" i="44" s="1"/>
  <c r="H2" i="32"/>
  <c r="H3" i="32"/>
  <c r="H4" i="32"/>
  <c r="H5" i="32"/>
  <c r="H6" i="32"/>
  <c r="H7" i="32"/>
  <c r="H8" i="32"/>
  <c r="H9" i="32"/>
  <c r="H10" i="32"/>
  <c r="H11" i="32"/>
  <c r="H12" i="32"/>
  <c r="H13" i="32"/>
  <c r="H14" i="32"/>
  <c r="H15" i="32"/>
  <c r="H16" i="32"/>
  <c r="H17" i="32"/>
  <c r="H18" i="32"/>
  <c r="H19" i="32"/>
  <c r="H20" i="32"/>
  <c r="H21" i="32"/>
  <c r="H22" i="32"/>
  <c r="H23" i="32"/>
  <c r="H24" i="32"/>
  <c r="H25" i="32"/>
  <c r="H26" i="32"/>
  <c r="H27" i="32"/>
  <c r="H28" i="32"/>
  <c r="H29" i="32"/>
  <c r="H30" i="32"/>
  <c r="H31" i="32"/>
  <c r="H32" i="32"/>
  <c r="H33" i="32"/>
  <c r="H34" i="32"/>
  <c r="H35" i="32"/>
  <c r="H36" i="32"/>
  <c r="H37" i="32"/>
  <c r="H38" i="32"/>
  <c r="H39" i="32"/>
  <c r="H40" i="32"/>
  <c r="H41" i="32"/>
  <c r="H42" i="32"/>
  <c r="H43" i="32"/>
  <c r="H44" i="32"/>
  <c r="H45" i="32"/>
  <c r="H46" i="32"/>
  <c r="H47" i="32"/>
  <c r="H48" i="32"/>
  <c r="H49" i="32"/>
  <c r="H50" i="32"/>
  <c r="H51" i="32"/>
  <c r="H52" i="32"/>
  <c r="H53" i="32"/>
  <c r="H54" i="32"/>
  <c r="H55" i="32"/>
  <c r="H56" i="32"/>
  <c r="H57" i="32"/>
  <c r="H58" i="32"/>
  <c r="H59" i="32"/>
  <c r="H60" i="32"/>
  <c r="I3" i="32"/>
  <c r="G3" i="32"/>
  <c r="G4" i="32"/>
  <c r="E5" i="32"/>
  <c r="F2" i="32"/>
  <c r="H3" i="44"/>
  <c r="F3" i="44"/>
  <c r="F4" i="44"/>
  <c r="F5" i="44"/>
  <c r="F6" i="44"/>
  <c r="F7" i="44"/>
  <c r="F8" i="44"/>
  <c r="F9" i="44"/>
  <c r="F10" i="44"/>
  <c r="F11" i="44"/>
  <c r="F12" i="44"/>
  <c r="F13" i="44"/>
  <c r="F14" i="44"/>
  <c r="F15" i="44"/>
  <c r="F16" i="44"/>
  <c r="F17" i="44"/>
  <c r="F18" i="44"/>
  <c r="F19" i="44"/>
  <c r="F20" i="44"/>
  <c r="F21" i="44"/>
  <c r="F22" i="44"/>
  <c r="F23" i="44"/>
  <c r="F24" i="44"/>
  <c r="F25" i="44"/>
  <c r="F26" i="44"/>
  <c r="F27" i="44"/>
  <c r="F28" i="44"/>
  <c r="F29" i="44"/>
  <c r="F30" i="44"/>
  <c r="F31" i="44"/>
  <c r="F32" i="44"/>
  <c r="F33" i="44"/>
  <c r="F34" i="44"/>
  <c r="F35" i="44"/>
  <c r="F36" i="44"/>
  <c r="F37" i="44"/>
  <c r="F38" i="44"/>
  <c r="F39" i="44"/>
  <c r="F40" i="44"/>
  <c r="F41" i="44"/>
  <c r="F42" i="44"/>
  <c r="F43" i="44"/>
  <c r="F44" i="44"/>
  <c r="F45" i="44"/>
  <c r="F46" i="44"/>
  <c r="F47" i="44"/>
  <c r="F48" i="44"/>
  <c r="F49" i="44"/>
  <c r="F50" i="44"/>
  <c r="F51" i="44"/>
  <c r="F52" i="44"/>
  <c r="F53" i="44"/>
  <c r="F54" i="44"/>
  <c r="F55" i="44"/>
  <c r="F56" i="44"/>
  <c r="F57" i="44"/>
  <c r="F58" i="44"/>
  <c r="F59" i="44"/>
  <c r="F60" i="44"/>
  <c r="F2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5" i="44"/>
  <c r="E4" i="44"/>
  <c r="D5" i="44"/>
  <c r="D6" i="44"/>
  <c r="D7" i="44"/>
  <c r="D8" i="44"/>
  <c r="D9" i="44"/>
  <c r="D10" i="44"/>
  <c r="D11" i="44"/>
  <c r="D12" i="44"/>
  <c r="D13" i="44"/>
  <c r="D14" i="44"/>
  <c r="D15" i="44"/>
  <c r="D16" i="44"/>
  <c r="D17" i="44"/>
  <c r="D18" i="44"/>
  <c r="D19" i="44"/>
  <c r="D20" i="44"/>
  <c r="D21" i="44"/>
  <c r="D22" i="44"/>
  <c r="D23" i="44"/>
  <c r="D24" i="44"/>
  <c r="D25" i="44"/>
  <c r="D26" i="44"/>
  <c r="D27" i="44"/>
  <c r="D28" i="44"/>
  <c r="D29" i="44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D45" i="44"/>
  <c r="D46" i="44"/>
  <c r="D47" i="44"/>
  <c r="D48" i="44"/>
  <c r="D49" i="44"/>
  <c r="D50" i="44"/>
  <c r="D51" i="44"/>
  <c r="D52" i="44"/>
  <c r="D53" i="44"/>
  <c r="D54" i="44"/>
  <c r="D55" i="44"/>
  <c r="D56" i="44"/>
  <c r="D57" i="44"/>
  <c r="D58" i="44"/>
  <c r="D59" i="44"/>
  <c r="D60" i="44"/>
  <c r="D4" i="44"/>
  <c r="D3" i="44"/>
  <c r="D3" i="32"/>
  <c r="D65" i="44"/>
  <c r="H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D129" i="44"/>
  <c r="D128" i="44"/>
  <c r="D127" i="44"/>
  <c r="D126" i="44"/>
  <c r="D125" i="44"/>
  <c r="D124" i="44"/>
  <c r="D123" i="44"/>
  <c r="D122" i="44"/>
  <c r="D121" i="44"/>
  <c r="D120" i="44"/>
  <c r="D119" i="44"/>
  <c r="D118" i="44"/>
  <c r="D117" i="44"/>
  <c r="D116" i="44"/>
  <c r="D115" i="44"/>
  <c r="D114" i="44"/>
  <c r="D113" i="44"/>
  <c r="D112" i="44"/>
  <c r="D111" i="44"/>
  <c r="D110" i="44"/>
  <c r="D109" i="44"/>
  <c r="D108" i="44"/>
  <c r="D107" i="44"/>
  <c r="D106" i="44"/>
  <c r="D105" i="44"/>
  <c r="D104" i="44"/>
  <c r="D103" i="44"/>
  <c r="D102" i="44"/>
  <c r="D101" i="44"/>
  <c r="D100" i="44"/>
  <c r="D99" i="44"/>
  <c r="D98" i="44"/>
  <c r="D97" i="44"/>
  <c r="D96" i="44"/>
  <c r="D95" i="44"/>
  <c r="D94" i="44"/>
  <c r="D93" i="44"/>
  <c r="D92" i="44"/>
  <c r="D91" i="44"/>
  <c r="D90" i="44"/>
  <c r="D89" i="44"/>
  <c r="D88" i="44"/>
  <c r="D87" i="44"/>
  <c r="D86" i="44"/>
  <c r="D85" i="44"/>
  <c r="D84" i="44"/>
  <c r="D83" i="44"/>
  <c r="D82" i="44"/>
  <c r="D81" i="44"/>
  <c r="D80" i="44"/>
  <c r="D79" i="44"/>
  <c r="D78" i="44"/>
  <c r="D77" i="44"/>
  <c r="D76" i="44"/>
  <c r="D75" i="44"/>
  <c r="D74" i="44"/>
  <c r="D73" i="44"/>
  <c r="K2" i="40"/>
  <c r="J3" i="40"/>
  <c r="I2" i="40"/>
  <c r="H2" i="40"/>
  <c r="G2" i="40"/>
  <c r="F2" i="40"/>
  <c r="E2" i="40"/>
  <c r="D2" i="40"/>
  <c r="D3" i="40"/>
  <c r="D4" i="40"/>
  <c r="D5" i="40"/>
  <c r="D6" i="40"/>
  <c r="D7" i="40"/>
  <c r="D8" i="40"/>
  <c r="D9" i="40"/>
  <c r="D10" i="40"/>
  <c r="D11" i="40"/>
  <c r="D12" i="40"/>
  <c r="D13" i="40"/>
  <c r="D14" i="40"/>
  <c r="D15" i="40"/>
  <c r="D16" i="40"/>
  <c r="D17" i="40"/>
  <c r="D18" i="40"/>
  <c r="D19" i="40"/>
  <c r="D20" i="40"/>
  <c r="D21" i="40"/>
  <c r="D22" i="40"/>
  <c r="D23" i="40"/>
  <c r="D24" i="40"/>
  <c r="D25" i="40"/>
  <c r="D26" i="40"/>
  <c r="D27" i="40"/>
  <c r="D28" i="40"/>
  <c r="D29" i="40"/>
  <c r="D30" i="40"/>
  <c r="D31" i="40"/>
  <c r="D32" i="40"/>
  <c r="D33" i="40"/>
  <c r="D34" i="40"/>
  <c r="D35" i="40"/>
  <c r="D36" i="40"/>
  <c r="D37" i="40"/>
  <c r="D38" i="40"/>
  <c r="D39" i="40"/>
  <c r="D40" i="40"/>
  <c r="D41" i="40"/>
  <c r="D42" i="40"/>
  <c r="D43" i="40"/>
  <c r="D44" i="40"/>
  <c r="D45" i="40"/>
  <c r="D46" i="40"/>
  <c r="D47" i="40"/>
  <c r="D48" i="40"/>
  <c r="D49" i="40"/>
  <c r="D50" i="40"/>
  <c r="D51" i="40"/>
  <c r="D52" i="40"/>
  <c r="D53" i="40"/>
  <c r="D54" i="40"/>
  <c r="D55" i="40"/>
  <c r="D56" i="40"/>
  <c r="D57" i="40"/>
  <c r="D58" i="40"/>
  <c r="D59" i="40"/>
  <c r="D60" i="40"/>
  <c r="B54" i="40"/>
  <c r="E54" i="40"/>
  <c r="F54" i="40" s="1"/>
  <c r="I54" i="40" s="1"/>
  <c r="L3" i="34"/>
  <c r="H9" i="42"/>
  <c r="F18" i="42"/>
  <c r="G18" i="42" s="1"/>
  <c r="F26" i="42"/>
  <c r="G26" i="42" s="1"/>
  <c r="F34" i="42"/>
  <c r="G34" i="42" s="1"/>
  <c r="F42" i="42"/>
  <c r="G42" i="42" s="1"/>
  <c r="F50" i="42"/>
  <c r="G50" i="42" s="1"/>
  <c r="F58" i="42"/>
  <c r="G58" i="42" s="1"/>
  <c r="E15" i="42"/>
  <c r="F15" i="42" s="1"/>
  <c r="G15" i="42" s="1"/>
  <c r="E16" i="42"/>
  <c r="F16" i="42" s="1"/>
  <c r="G16" i="42" s="1"/>
  <c r="E17" i="42"/>
  <c r="F17" i="42" s="1"/>
  <c r="G17" i="42" s="1"/>
  <c r="E18" i="42"/>
  <c r="E19" i="42"/>
  <c r="F19" i="42" s="1"/>
  <c r="G19" i="42" s="1"/>
  <c r="E20" i="42"/>
  <c r="F20" i="42" s="1"/>
  <c r="G20" i="42" s="1"/>
  <c r="E21" i="42"/>
  <c r="F21" i="42" s="1"/>
  <c r="G21" i="42" s="1"/>
  <c r="E22" i="42"/>
  <c r="F22" i="42" s="1"/>
  <c r="G22" i="42" s="1"/>
  <c r="E23" i="42"/>
  <c r="F23" i="42" s="1"/>
  <c r="G23" i="42" s="1"/>
  <c r="E24" i="42"/>
  <c r="F24" i="42" s="1"/>
  <c r="G24" i="42" s="1"/>
  <c r="E25" i="42"/>
  <c r="F25" i="42" s="1"/>
  <c r="E26" i="42"/>
  <c r="E27" i="42"/>
  <c r="F27" i="42" s="1"/>
  <c r="G27" i="42" s="1"/>
  <c r="E28" i="42"/>
  <c r="F28" i="42" s="1"/>
  <c r="G28" i="42" s="1"/>
  <c r="E29" i="42"/>
  <c r="F29" i="42" s="1"/>
  <c r="G29" i="42" s="1"/>
  <c r="E30" i="42"/>
  <c r="F30" i="42" s="1"/>
  <c r="G30" i="42" s="1"/>
  <c r="E31" i="42"/>
  <c r="F31" i="42" s="1"/>
  <c r="G31" i="42" s="1"/>
  <c r="E32" i="42"/>
  <c r="F32" i="42" s="1"/>
  <c r="G32" i="42" s="1"/>
  <c r="E33" i="42"/>
  <c r="F33" i="42" s="1"/>
  <c r="G33" i="42" s="1"/>
  <c r="E34" i="42"/>
  <c r="E35" i="42"/>
  <c r="F35" i="42" s="1"/>
  <c r="G35" i="42" s="1"/>
  <c r="E36" i="42"/>
  <c r="F36" i="42" s="1"/>
  <c r="G36" i="42" s="1"/>
  <c r="E37" i="42"/>
  <c r="F37" i="42" s="1"/>
  <c r="G37" i="42" s="1"/>
  <c r="E38" i="42"/>
  <c r="F38" i="42" s="1"/>
  <c r="E39" i="42"/>
  <c r="F39" i="42" s="1"/>
  <c r="G39" i="42" s="1"/>
  <c r="E40" i="42"/>
  <c r="F40" i="42" s="1"/>
  <c r="G40" i="42" s="1"/>
  <c r="E41" i="42"/>
  <c r="F41" i="42" s="1"/>
  <c r="G41" i="42" s="1"/>
  <c r="E42" i="42"/>
  <c r="E43" i="42"/>
  <c r="F43" i="42" s="1"/>
  <c r="G43" i="42" s="1"/>
  <c r="E44" i="42"/>
  <c r="F44" i="42" s="1"/>
  <c r="G44" i="42" s="1"/>
  <c r="E45" i="42"/>
  <c r="F45" i="42" s="1"/>
  <c r="G45" i="42" s="1"/>
  <c r="E46" i="42"/>
  <c r="F46" i="42" s="1"/>
  <c r="E47" i="42"/>
  <c r="F47" i="42" s="1"/>
  <c r="E48" i="42"/>
  <c r="F48" i="42" s="1"/>
  <c r="G48" i="42" s="1"/>
  <c r="E49" i="42"/>
  <c r="F49" i="42" s="1"/>
  <c r="G49" i="42" s="1"/>
  <c r="E50" i="42"/>
  <c r="E51" i="42"/>
  <c r="F51" i="42" s="1"/>
  <c r="G51" i="42" s="1"/>
  <c r="E52" i="42"/>
  <c r="F52" i="42" s="1"/>
  <c r="G52" i="42" s="1"/>
  <c r="E53" i="42"/>
  <c r="F53" i="42" s="1"/>
  <c r="G53" i="42" s="1"/>
  <c r="E54" i="42"/>
  <c r="F54" i="42" s="1"/>
  <c r="G54" i="42" s="1"/>
  <c r="E55" i="42"/>
  <c r="F55" i="42" s="1"/>
  <c r="E56" i="42"/>
  <c r="F56" i="42" s="1"/>
  <c r="G56" i="42" s="1"/>
  <c r="E57" i="42"/>
  <c r="F57" i="42" s="1"/>
  <c r="G57" i="42" s="1"/>
  <c r="E58" i="42"/>
  <c r="E59" i="42"/>
  <c r="F59" i="42" s="1"/>
  <c r="G59" i="42" s="1"/>
  <c r="E60" i="42"/>
  <c r="F60" i="42" s="1"/>
  <c r="G60" i="42" s="1"/>
  <c r="E3" i="42"/>
  <c r="E4" i="42"/>
  <c r="E5" i="42"/>
  <c r="E6" i="42"/>
  <c r="E7" i="42"/>
  <c r="E8" i="42"/>
  <c r="E9" i="42"/>
  <c r="E10" i="42"/>
  <c r="F10" i="42" s="1"/>
  <c r="G10" i="42" s="1"/>
  <c r="H10" i="42" s="1"/>
  <c r="E11" i="42"/>
  <c r="E12" i="42"/>
  <c r="E13" i="42"/>
  <c r="E14" i="42"/>
  <c r="E2" i="42"/>
  <c r="F2" i="42" s="1"/>
  <c r="C15" i="42"/>
  <c r="C16" i="42"/>
  <c r="C17" i="42"/>
  <c r="C18" i="42"/>
  <c r="C19" i="42"/>
  <c r="C20" i="42"/>
  <c r="C21" i="42"/>
  <c r="C22" i="42"/>
  <c r="C23" i="42"/>
  <c r="C24" i="42"/>
  <c r="C25" i="42"/>
  <c r="C26" i="42"/>
  <c r="C27" i="42"/>
  <c r="C28" i="42"/>
  <c r="C29" i="42"/>
  <c r="C30" i="42"/>
  <c r="C31" i="42"/>
  <c r="C32" i="42"/>
  <c r="C33" i="42"/>
  <c r="C34" i="42"/>
  <c r="C35" i="42"/>
  <c r="C36" i="42"/>
  <c r="C37" i="42"/>
  <c r="C38" i="42"/>
  <c r="C39" i="42"/>
  <c r="C40" i="42"/>
  <c r="C41" i="42"/>
  <c r="C42" i="42"/>
  <c r="C43" i="42"/>
  <c r="C44" i="42"/>
  <c r="C45" i="42"/>
  <c r="C46" i="42"/>
  <c r="C47" i="42"/>
  <c r="C48" i="42"/>
  <c r="C49" i="42"/>
  <c r="C50" i="42"/>
  <c r="C51" i="42"/>
  <c r="C52" i="42"/>
  <c r="C53" i="42"/>
  <c r="C54" i="42"/>
  <c r="C55" i="42"/>
  <c r="C56" i="42"/>
  <c r="C57" i="42"/>
  <c r="C58" i="42"/>
  <c r="C59" i="42"/>
  <c r="C60" i="42"/>
  <c r="B15" i="42"/>
  <c r="B16" i="42"/>
  <c r="B17" i="42"/>
  <c r="B18" i="42"/>
  <c r="B19" i="42"/>
  <c r="B20" i="42"/>
  <c r="B21" i="42"/>
  <c r="B22" i="42"/>
  <c r="B23" i="42"/>
  <c r="B24" i="42"/>
  <c r="B25" i="42"/>
  <c r="B26" i="42"/>
  <c r="B27" i="42"/>
  <c r="B28" i="42"/>
  <c r="B29" i="42"/>
  <c r="B30" i="42"/>
  <c r="B31" i="42"/>
  <c r="B32" i="42"/>
  <c r="B33" i="42"/>
  <c r="B34" i="42"/>
  <c r="B35" i="42"/>
  <c r="B36" i="42"/>
  <c r="B37" i="42"/>
  <c r="B38" i="42"/>
  <c r="B39" i="42"/>
  <c r="B40" i="42"/>
  <c r="B41" i="42"/>
  <c r="B42" i="42"/>
  <c r="B43" i="42"/>
  <c r="B44" i="42"/>
  <c r="B45" i="42"/>
  <c r="B46" i="42"/>
  <c r="B47" i="42"/>
  <c r="B48" i="42"/>
  <c r="B49" i="42"/>
  <c r="B50" i="42"/>
  <c r="B51" i="42"/>
  <c r="B52" i="42"/>
  <c r="B53" i="42"/>
  <c r="B54" i="42"/>
  <c r="B55" i="42"/>
  <c r="B56" i="42"/>
  <c r="B57" i="42"/>
  <c r="B58" i="42"/>
  <c r="B59" i="42"/>
  <c r="B60" i="42"/>
  <c r="B3" i="42"/>
  <c r="B4" i="42"/>
  <c r="B5" i="42"/>
  <c r="B6" i="42"/>
  <c r="B7" i="42"/>
  <c r="B8" i="42"/>
  <c r="B9" i="42"/>
  <c r="B10" i="42"/>
  <c r="B11" i="42"/>
  <c r="B12" i="42"/>
  <c r="B13" i="42"/>
  <c r="B14" i="42"/>
  <c r="F3" i="42"/>
  <c r="G3" i="42" s="1"/>
  <c r="J3" i="42" s="1"/>
  <c r="F14" i="42"/>
  <c r="G14" i="42" s="1"/>
  <c r="H14" i="42" s="1"/>
  <c r="C14" i="42"/>
  <c r="F13" i="42"/>
  <c r="G13" i="42" s="1"/>
  <c r="H13" i="42" s="1"/>
  <c r="C13" i="42"/>
  <c r="F12" i="42"/>
  <c r="G12" i="42" s="1"/>
  <c r="H12" i="42" s="1"/>
  <c r="C12" i="42"/>
  <c r="F11" i="42"/>
  <c r="G11" i="42" s="1"/>
  <c r="H11" i="42" s="1"/>
  <c r="C11" i="42"/>
  <c r="C10" i="42"/>
  <c r="F9" i="42"/>
  <c r="G9" i="42" s="1"/>
  <c r="C9" i="42"/>
  <c r="F8" i="42"/>
  <c r="G8" i="42" s="1"/>
  <c r="H8" i="42" s="1"/>
  <c r="C8" i="42"/>
  <c r="F7" i="42"/>
  <c r="G7" i="42" s="1"/>
  <c r="J7" i="42" s="1"/>
  <c r="C7" i="42"/>
  <c r="F6" i="42"/>
  <c r="G6" i="42" s="1"/>
  <c r="H6" i="42" s="1"/>
  <c r="C6" i="42"/>
  <c r="F5" i="42"/>
  <c r="G5" i="42" s="1"/>
  <c r="H5" i="42" s="1"/>
  <c r="C5" i="42"/>
  <c r="F4" i="42"/>
  <c r="G4" i="42" s="1"/>
  <c r="H4" i="42" s="1"/>
  <c r="C4" i="42"/>
  <c r="C3" i="42"/>
  <c r="C2" i="42"/>
  <c r="B2" i="42"/>
  <c r="J57" i="42" l="1"/>
  <c r="H57" i="42"/>
  <c r="J17" i="42"/>
  <c r="H17" i="42"/>
  <c r="J56" i="42"/>
  <c r="H56" i="42"/>
  <c r="J24" i="42"/>
  <c r="H24" i="42"/>
  <c r="G55" i="42"/>
  <c r="G47" i="42"/>
  <c r="J39" i="42"/>
  <c r="H39" i="42"/>
  <c r="J31" i="42"/>
  <c r="H31" i="42"/>
  <c r="J23" i="42"/>
  <c r="H23" i="42"/>
  <c r="J15" i="42"/>
  <c r="H15" i="42"/>
  <c r="J54" i="42"/>
  <c r="H54" i="42"/>
  <c r="G46" i="42"/>
  <c r="G38" i="42"/>
  <c r="J30" i="42"/>
  <c r="H30" i="42"/>
  <c r="J22" i="42"/>
  <c r="H22" i="42"/>
  <c r="J58" i="42"/>
  <c r="H58" i="42"/>
  <c r="G2" i="42"/>
  <c r="I2" i="42" s="1"/>
  <c r="L2" i="42" s="1"/>
  <c r="G25" i="42"/>
  <c r="J40" i="42"/>
  <c r="H40" i="42"/>
  <c r="J21" i="42"/>
  <c r="H21" i="42"/>
  <c r="J60" i="42"/>
  <c r="H60" i="42"/>
  <c r="J52" i="42"/>
  <c r="H52" i="42"/>
  <c r="J44" i="42"/>
  <c r="H44" i="42"/>
  <c r="J36" i="42"/>
  <c r="H36" i="42"/>
  <c r="J28" i="42"/>
  <c r="H28" i="42"/>
  <c r="J20" i="42"/>
  <c r="H20" i="42"/>
  <c r="J42" i="42"/>
  <c r="H42" i="42"/>
  <c r="J41" i="42"/>
  <c r="H41" i="42"/>
  <c r="J18" i="42"/>
  <c r="H18" i="42"/>
  <c r="J48" i="42"/>
  <c r="H48" i="42"/>
  <c r="J16" i="42"/>
  <c r="H16" i="42"/>
  <c r="J53" i="42"/>
  <c r="H53" i="42"/>
  <c r="J45" i="42"/>
  <c r="H45" i="42"/>
  <c r="J37" i="42"/>
  <c r="H37" i="42"/>
  <c r="J29" i="42"/>
  <c r="H29" i="42"/>
  <c r="J50" i="42"/>
  <c r="H50" i="42"/>
  <c r="J59" i="42"/>
  <c r="H59" i="42"/>
  <c r="H51" i="42"/>
  <c r="J51" i="42"/>
  <c r="H43" i="42"/>
  <c r="J43" i="42"/>
  <c r="J35" i="42"/>
  <c r="H35" i="42"/>
  <c r="H27" i="42"/>
  <c r="J27" i="42"/>
  <c r="J19" i="42"/>
  <c r="H19" i="42"/>
  <c r="J34" i="42"/>
  <c r="H34" i="42"/>
  <c r="J49" i="42"/>
  <c r="H49" i="42"/>
  <c r="J26" i="42"/>
  <c r="H26" i="42"/>
  <c r="J33" i="42"/>
  <c r="H33" i="42"/>
  <c r="J32" i="42"/>
  <c r="H32" i="42"/>
  <c r="H7" i="42"/>
  <c r="H3" i="42"/>
  <c r="C61" i="44"/>
  <c r="C130" i="44"/>
  <c r="I32" i="42"/>
  <c r="L32" i="42" s="1"/>
  <c r="I29" i="42"/>
  <c r="L29" i="42" s="1"/>
  <c r="I20" i="42"/>
  <c r="L20" i="42" s="1"/>
  <c r="I19" i="42"/>
  <c r="L19" i="42" s="1"/>
  <c r="H54" i="40"/>
  <c r="G54" i="40"/>
  <c r="J4" i="42"/>
  <c r="J10" i="42"/>
  <c r="J5" i="42"/>
  <c r="J8" i="42"/>
  <c r="J13" i="42"/>
  <c r="J11" i="42"/>
  <c r="J12" i="42"/>
  <c r="J6" i="42"/>
  <c r="J9" i="42"/>
  <c r="J14" i="42"/>
  <c r="I40" i="42" l="1"/>
  <c r="L40" i="42" s="1"/>
  <c r="I37" i="42"/>
  <c r="L37" i="42" s="1"/>
  <c r="I35" i="42"/>
  <c r="L35" i="42" s="1"/>
  <c r="I45" i="42"/>
  <c r="L45" i="42" s="1"/>
  <c r="I43" i="42"/>
  <c r="L43" i="42" s="1"/>
  <c r="I44" i="42"/>
  <c r="L44" i="42" s="1"/>
  <c r="I53" i="42"/>
  <c r="L53" i="42" s="1"/>
  <c r="I56" i="42"/>
  <c r="L56" i="42" s="1"/>
  <c r="I27" i="42"/>
  <c r="L27" i="42" s="1"/>
  <c r="I36" i="42"/>
  <c r="L36" i="42" s="1"/>
  <c r="J46" i="42"/>
  <c r="H46" i="42"/>
  <c r="I51" i="42"/>
  <c r="L51" i="42" s="1"/>
  <c r="I52" i="42"/>
  <c r="L52" i="42" s="1"/>
  <c r="I3" i="42"/>
  <c r="L3" i="42" s="1"/>
  <c r="I14" i="42"/>
  <c r="L14" i="42" s="1"/>
  <c r="I30" i="42"/>
  <c r="L30" i="42" s="1"/>
  <c r="I46" i="42"/>
  <c r="L46" i="42" s="1"/>
  <c r="I15" i="42"/>
  <c r="L15" i="42" s="1"/>
  <c r="I31" i="42"/>
  <c r="L31" i="42" s="1"/>
  <c r="I47" i="42"/>
  <c r="L47" i="42" s="1"/>
  <c r="I60" i="42"/>
  <c r="L60" i="42" s="1"/>
  <c r="I17" i="42"/>
  <c r="L17" i="42" s="1"/>
  <c r="I33" i="42"/>
  <c r="L33" i="42" s="1"/>
  <c r="I49" i="42"/>
  <c r="L49" i="42" s="1"/>
  <c r="J2" i="42"/>
  <c r="I18" i="42"/>
  <c r="L18" i="42" s="1"/>
  <c r="I34" i="42"/>
  <c r="L34" i="42" s="1"/>
  <c r="I50" i="42"/>
  <c r="L50" i="42" s="1"/>
  <c r="I42" i="42"/>
  <c r="L42" i="42" s="1"/>
  <c r="I6" i="42"/>
  <c r="L6" i="42" s="1"/>
  <c r="I22" i="42"/>
  <c r="L22" i="42" s="1"/>
  <c r="I38" i="42"/>
  <c r="L38" i="42" s="1"/>
  <c r="I54" i="42"/>
  <c r="L54" i="42" s="1"/>
  <c r="I7" i="42"/>
  <c r="L7" i="42" s="1"/>
  <c r="I23" i="42"/>
  <c r="L23" i="42" s="1"/>
  <c r="I39" i="42"/>
  <c r="L39" i="42" s="1"/>
  <c r="I55" i="42"/>
  <c r="L55" i="42" s="1"/>
  <c r="H2" i="42"/>
  <c r="I10" i="42"/>
  <c r="L10" i="42" s="1"/>
  <c r="I9" i="42"/>
  <c r="L9" i="42" s="1"/>
  <c r="I25" i="42"/>
  <c r="L25" i="42" s="1"/>
  <c r="I41" i="42"/>
  <c r="L41" i="42" s="1"/>
  <c r="I57" i="42"/>
  <c r="L57" i="42" s="1"/>
  <c r="I26" i="42"/>
  <c r="L26" i="42" s="1"/>
  <c r="I58" i="42"/>
  <c r="L58" i="42" s="1"/>
  <c r="I28" i="42"/>
  <c r="L28" i="42" s="1"/>
  <c r="I48" i="42"/>
  <c r="L48" i="42" s="1"/>
  <c r="I59" i="42"/>
  <c r="L59" i="42" s="1"/>
  <c r="I5" i="42"/>
  <c r="L5" i="42" s="1"/>
  <c r="I8" i="42"/>
  <c r="L8" i="42" s="1"/>
  <c r="J47" i="42"/>
  <c r="H47" i="42"/>
  <c r="I4" i="42"/>
  <c r="L4" i="42" s="1"/>
  <c r="I13" i="42"/>
  <c r="L13" i="42" s="1"/>
  <c r="I16" i="42"/>
  <c r="L16" i="42" s="1"/>
  <c r="J25" i="42"/>
  <c r="H25" i="42"/>
  <c r="I11" i="42"/>
  <c r="L11" i="42" s="1"/>
  <c r="I12" i="42"/>
  <c r="L12" i="42" s="1"/>
  <c r="I21" i="42"/>
  <c r="L21" i="42" s="1"/>
  <c r="I24" i="42"/>
  <c r="L24" i="42" s="1"/>
  <c r="J38" i="42"/>
  <c r="H38" i="42"/>
  <c r="J55" i="42"/>
  <c r="H55" i="42"/>
  <c r="G28" i="44"/>
  <c r="H58" i="44"/>
  <c r="E101" i="44"/>
  <c r="H101" i="44" s="1"/>
  <c r="I101" i="44" s="1"/>
  <c r="E85" i="44"/>
  <c r="H85" i="44" s="1"/>
  <c r="I85" i="44" s="1"/>
  <c r="H46" i="44"/>
  <c r="E108" i="44"/>
  <c r="F110" i="44" s="1"/>
  <c r="G5" i="44"/>
  <c r="E100" i="44"/>
  <c r="F102" i="44" s="1"/>
  <c r="G31" i="44"/>
  <c r="E71" i="44"/>
  <c r="H71" i="44" s="1"/>
  <c r="E82" i="44"/>
  <c r="H82" i="44" s="1"/>
  <c r="I82" i="44" s="1"/>
  <c r="H49" i="44"/>
  <c r="E92" i="44"/>
  <c r="F94" i="44" s="1"/>
  <c r="E109" i="44"/>
  <c r="H109" i="44" s="1"/>
  <c r="I109" i="44" s="1"/>
  <c r="G45" i="44"/>
  <c r="E122" i="44"/>
  <c r="H122" i="44" s="1"/>
  <c r="I122" i="44" s="1"/>
  <c r="E88" i="44"/>
  <c r="F90" i="44" s="1"/>
  <c r="E110" i="44"/>
  <c r="F112" i="44" s="1"/>
  <c r="E119" i="44"/>
  <c r="F121" i="44" s="1"/>
  <c r="G54" i="44"/>
  <c r="H22" i="44"/>
  <c r="G12" i="44"/>
  <c r="E87" i="44"/>
  <c r="H87" i="44" s="1"/>
  <c r="I87" i="44" s="1"/>
  <c r="E104" i="44"/>
  <c r="F106" i="44" s="1"/>
  <c r="H14" i="44"/>
  <c r="E114" i="44"/>
  <c r="F116" i="44" s="1"/>
  <c r="E78" i="44"/>
  <c r="F80" i="44" s="1"/>
  <c r="H54" i="44"/>
  <c r="G46" i="44"/>
  <c r="E103" i="44"/>
  <c r="H103" i="44" s="1"/>
  <c r="E74" i="44"/>
  <c r="H74" i="44" s="1"/>
  <c r="I74" i="44" s="1"/>
  <c r="E128" i="44"/>
  <c r="H128" i="44" s="1"/>
  <c r="I128" i="44" s="1"/>
  <c r="E99" i="44"/>
  <c r="F101" i="44" s="1"/>
  <c r="E102" i="44"/>
  <c r="H102" i="44" s="1"/>
  <c r="I102" i="44" s="1"/>
  <c r="E121" i="44"/>
  <c r="E95" i="44"/>
  <c r="H95" i="44" s="1"/>
  <c r="I95" i="44" s="1"/>
  <c r="E117" i="44"/>
  <c r="F119" i="44" s="1"/>
  <c r="E112" i="44"/>
  <c r="H112" i="44" s="1"/>
  <c r="I112" i="44" s="1"/>
  <c r="E83" i="44"/>
  <c r="F85" i="44" s="1"/>
  <c r="H26" i="44"/>
  <c r="E94" i="44"/>
  <c r="F96" i="44" s="1"/>
  <c r="E105" i="44"/>
  <c r="G21" i="44"/>
  <c r="E76" i="44"/>
  <c r="F78" i="44" s="1"/>
  <c r="E106" i="44"/>
  <c r="H106" i="44" s="1"/>
  <c r="I106" i="44" s="1"/>
  <c r="E77" i="44"/>
  <c r="H77" i="44" s="1"/>
  <c r="I77" i="44" s="1"/>
  <c r="H42" i="44"/>
  <c r="G11" i="44"/>
  <c r="E129" i="44"/>
  <c r="H129" i="44" s="1"/>
  <c r="I129" i="44" s="1"/>
  <c r="G4" i="44"/>
  <c r="E127" i="44"/>
  <c r="F129" i="44" s="1"/>
  <c r="E90" i="44"/>
  <c r="H90" i="44" s="1"/>
  <c r="I90" i="44" s="1"/>
  <c r="E72" i="44"/>
  <c r="F74" i="44" s="1"/>
  <c r="E115" i="44"/>
  <c r="H115" i="44" s="1"/>
  <c r="I115" i="44" s="1"/>
  <c r="G39" i="44"/>
  <c r="H6" i="44"/>
  <c r="H12" i="44"/>
  <c r="E84" i="44"/>
  <c r="F86" i="44" s="1"/>
  <c r="E79" i="44"/>
  <c r="H79" i="44" s="1"/>
  <c r="E125" i="44"/>
  <c r="F127" i="44" s="1"/>
  <c r="H57" i="44"/>
  <c r="E96" i="44"/>
  <c r="F98" i="44" s="1"/>
  <c r="E123" i="44"/>
  <c r="H123" i="44" s="1"/>
  <c r="I123" i="44" s="1"/>
  <c r="E91" i="44"/>
  <c r="F93" i="44" s="1"/>
  <c r="E86" i="44"/>
  <c r="F88" i="44" s="1"/>
  <c r="H32" i="44"/>
  <c r="E124" i="44"/>
  <c r="E81" i="44"/>
  <c r="E73" i="44"/>
  <c r="E113" i="44"/>
  <c r="E97" i="44"/>
  <c r="E89" i="44"/>
  <c r="H34" i="44"/>
  <c r="G19" i="44"/>
  <c r="E126" i="44"/>
  <c r="F128" i="44" s="1"/>
  <c r="E116" i="44"/>
  <c r="F118" i="44" s="1"/>
  <c r="E111" i="44"/>
  <c r="H111" i="44" s="1"/>
  <c r="E98" i="44"/>
  <c r="F100" i="44" s="1"/>
  <c r="E93" i="44"/>
  <c r="F95" i="44" s="1"/>
  <c r="E120" i="44"/>
  <c r="F122" i="44" s="1"/>
  <c r="E80" i="44"/>
  <c r="H80" i="44" s="1"/>
  <c r="I80" i="44" s="1"/>
  <c r="E107" i="44"/>
  <c r="F109" i="44" s="1"/>
  <c r="E75" i="44"/>
  <c r="F77" i="44" s="1"/>
  <c r="E118" i="44"/>
  <c r="H118" i="44" s="1"/>
  <c r="I118" i="44" s="1"/>
  <c r="F103" i="44"/>
  <c r="G15" i="44"/>
  <c r="H53" i="44"/>
  <c r="P8" i="42" l="1"/>
  <c r="T8" i="42" s="1"/>
  <c r="F7" i="38" s="1"/>
  <c r="K7" i="42"/>
  <c r="K15" i="42"/>
  <c r="K23" i="42"/>
  <c r="K31" i="42"/>
  <c r="K39" i="42"/>
  <c r="K47" i="42"/>
  <c r="K55" i="42"/>
  <c r="K60" i="42"/>
  <c r="Q8" i="42" s="1"/>
  <c r="C7" i="38" s="1"/>
  <c r="K8" i="42"/>
  <c r="K16" i="42"/>
  <c r="K24" i="42"/>
  <c r="K32" i="42"/>
  <c r="K40" i="42"/>
  <c r="K48" i="42"/>
  <c r="K56" i="42"/>
  <c r="K22" i="42"/>
  <c r="K9" i="42"/>
  <c r="K17" i="42"/>
  <c r="K25" i="42"/>
  <c r="K33" i="42"/>
  <c r="K41" i="42"/>
  <c r="K49" i="42"/>
  <c r="K57" i="42"/>
  <c r="K2" i="42"/>
  <c r="K10" i="42"/>
  <c r="K18" i="42"/>
  <c r="K26" i="42"/>
  <c r="K34" i="42"/>
  <c r="K42" i="42"/>
  <c r="K50" i="42"/>
  <c r="K58" i="42"/>
  <c r="K14" i="42"/>
  <c r="K30" i="42"/>
  <c r="K46" i="42"/>
  <c r="K3" i="42"/>
  <c r="K11" i="42"/>
  <c r="K19" i="42"/>
  <c r="K27" i="42"/>
  <c r="K35" i="42"/>
  <c r="K43" i="42"/>
  <c r="K51" i="42"/>
  <c r="K59" i="42"/>
  <c r="K4" i="42"/>
  <c r="K12" i="42"/>
  <c r="K20" i="42"/>
  <c r="K28" i="42"/>
  <c r="K36" i="42"/>
  <c r="K44" i="42"/>
  <c r="K52" i="42"/>
  <c r="K6" i="42"/>
  <c r="K38" i="42"/>
  <c r="K5" i="42"/>
  <c r="K13" i="42"/>
  <c r="K21" i="42"/>
  <c r="K29" i="42"/>
  <c r="K37" i="42"/>
  <c r="K45" i="42"/>
  <c r="K53" i="42"/>
  <c r="K54" i="42"/>
  <c r="R8" i="42"/>
  <c r="D7" i="38" s="1"/>
  <c r="S8" i="42"/>
  <c r="E7" i="38"/>
  <c r="B7" i="38"/>
  <c r="H108" i="44"/>
  <c r="I108" i="44" s="1"/>
  <c r="G59" i="44"/>
  <c r="I59" i="44" s="1"/>
  <c r="H114" i="44"/>
  <c r="I114" i="44" s="1"/>
  <c r="H99" i="44"/>
  <c r="I99" i="44" s="1"/>
  <c r="H38" i="44"/>
  <c r="I45" i="44"/>
  <c r="F104" i="44"/>
  <c r="H10" i="44"/>
  <c r="G43" i="44"/>
  <c r="I54" i="44"/>
  <c r="H30" i="44"/>
  <c r="H119" i="44"/>
  <c r="I119" i="44" s="1"/>
  <c r="H78" i="44"/>
  <c r="I78" i="44" s="1"/>
  <c r="F125" i="44"/>
  <c r="F73" i="44"/>
  <c r="F111" i="44"/>
  <c r="G23" i="44"/>
  <c r="I4" i="44"/>
  <c r="H4" i="44"/>
  <c r="H117" i="44"/>
  <c r="I117" i="44" s="1"/>
  <c r="H127" i="44"/>
  <c r="I127" i="44" s="1"/>
  <c r="G47" i="44"/>
  <c r="I47" i="44" s="1"/>
  <c r="F117" i="44"/>
  <c r="H116" i="44"/>
  <c r="I116" i="44" s="1"/>
  <c r="H72" i="44"/>
  <c r="I72" i="44" s="1"/>
  <c r="H92" i="44"/>
  <c r="I92" i="44" s="1"/>
  <c r="H44" i="44"/>
  <c r="F87" i="44"/>
  <c r="F76" i="44"/>
  <c r="F108" i="44"/>
  <c r="H84" i="44"/>
  <c r="I84" i="44" s="1"/>
  <c r="G50" i="44"/>
  <c r="I50" i="44" s="1"/>
  <c r="H11" i="44"/>
  <c r="I46" i="44"/>
  <c r="H18" i="44"/>
  <c r="G55" i="44"/>
  <c r="I55" i="44" s="1"/>
  <c r="I11" i="44"/>
  <c r="H27" i="44"/>
  <c r="H75" i="44"/>
  <c r="I75" i="44" s="1"/>
  <c r="F114" i="44"/>
  <c r="I43" i="44"/>
  <c r="H120" i="44"/>
  <c r="I120" i="44" s="1"/>
  <c r="H20" i="44"/>
  <c r="I31" i="44"/>
  <c r="F61" i="44"/>
  <c r="F124" i="44"/>
  <c r="F89" i="44"/>
  <c r="F84" i="44"/>
  <c r="F81" i="44"/>
  <c r="H104" i="44"/>
  <c r="I104" i="44" s="1"/>
  <c r="F120" i="44"/>
  <c r="H100" i="44"/>
  <c r="I100" i="44" s="1"/>
  <c r="F79" i="44"/>
  <c r="G58" i="44"/>
  <c r="I58" i="44" s="1"/>
  <c r="G27" i="44"/>
  <c r="I27" i="44" s="1"/>
  <c r="H110" i="44"/>
  <c r="I110" i="44" s="1"/>
  <c r="H94" i="44"/>
  <c r="I94" i="44" s="1"/>
  <c r="H126" i="44"/>
  <c r="I126" i="44" s="1"/>
  <c r="F97" i="44"/>
  <c r="G7" i="44"/>
  <c r="I7" i="44" s="1"/>
  <c r="H88" i="44"/>
  <c r="I88" i="44" s="1"/>
  <c r="H125" i="44"/>
  <c r="I125" i="44" s="1"/>
  <c r="H45" i="44"/>
  <c r="H93" i="44"/>
  <c r="I93" i="44" s="1"/>
  <c r="G35" i="44"/>
  <c r="I35" i="44" s="1"/>
  <c r="F92" i="44"/>
  <c r="H76" i="44"/>
  <c r="I76" i="44" s="1"/>
  <c r="H83" i="44"/>
  <c r="I83" i="44" s="1"/>
  <c r="G13" i="44"/>
  <c r="I13" i="44" s="1"/>
  <c r="I12" i="44"/>
  <c r="F123" i="44"/>
  <c r="H121" i="44"/>
  <c r="I121" i="44" s="1"/>
  <c r="H86" i="44"/>
  <c r="I86" i="44" s="1"/>
  <c r="F82" i="44"/>
  <c r="F105" i="44"/>
  <c r="I39" i="44"/>
  <c r="I103" i="44"/>
  <c r="F107" i="44"/>
  <c r="H105" i="44"/>
  <c r="I105" i="44" s="1"/>
  <c r="H96" i="44"/>
  <c r="I96" i="44" s="1"/>
  <c r="I79" i="44"/>
  <c r="H98" i="44"/>
  <c r="I98" i="44" s="1"/>
  <c r="I19" i="44"/>
  <c r="H91" i="44"/>
  <c r="I91" i="44" s="1"/>
  <c r="H21" i="44"/>
  <c r="I21" i="44"/>
  <c r="G22" i="44"/>
  <c r="I22" i="44" s="1"/>
  <c r="G9" i="44"/>
  <c r="H8" i="44"/>
  <c r="H37" i="44"/>
  <c r="G38" i="44"/>
  <c r="I38" i="44" s="1"/>
  <c r="H124" i="44"/>
  <c r="I124" i="44" s="1"/>
  <c r="F126" i="44"/>
  <c r="H60" i="44"/>
  <c r="G44" i="44"/>
  <c r="I44" i="44" s="1"/>
  <c r="H43" i="44"/>
  <c r="G37" i="44"/>
  <c r="I37" i="44" s="1"/>
  <c r="H36" i="44"/>
  <c r="G25" i="44"/>
  <c r="I25" i="44" s="1"/>
  <c r="H24" i="44"/>
  <c r="H13" i="44"/>
  <c r="G14" i="44"/>
  <c r="I14" i="44" s="1"/>
  <c r="G41" i="44"/>
  <c r="I41" i="44" s="1"/>
  <c r="H40" i="44"/>
  <c r="G52" i="44"/>
  <c r="I52" i="44" s="1"/>
  <c r="H51" i="44"/>
  <c r="H17" i="44"/>
  <c r="G18" i="44"/>
  <c r="I18" i="44" s="1"/>
  <c r="F115" i="44"/>
  <c r="H113" i="44"/>
  <c r="I113" i="44" s="1"/>
  <c r="G49" i="44"/>
  <c r="I49" i="44" s="1"/>
  <c r="H48" i="44"/>
  <c r="F75" i="44"/>
  <c r="H73" i="44"/>
  <c r="I73" i="44" s="1"/>
  <c r="G29" i="44"/>
  <c r="I29" i="44" s="1"/>
  <c r="H28" i="44"/>
  <c r="I28" i="44"/>
  <c r="I111" i="44"/>
  <c r="G60" i="44"/>
  <c r="I60" i="44" s="1"/>
  <c r="H59" i="44"/>
  <c r="G36" i="44"/>
  <c r="I36" i="44" s="1"/>
  <c r="H35" i="44"/>
  <c r="G48" i="44"/>
  <c r="I48" i="44" s="1"/>
  <c r="H47" i="44"/>
  <c r="G17" i="44"/>
  <c r="I17" i="44" s="1"/>
  <c r="H16" i="44"/>
  <c r="H9" i="44"/>
  <c r="I9" i="44"/>
  <c r="G10" i="44"/>
  <c r="I10" i="44" s="1"/>
  <c r="H50" i="44"/>
  <c r="F113" i="44"/>
  <c r="G20" i="44"/>
  <c r="I20" i="44" s="1"/>
  <c r="H19" i="44"/>
  <c r="F91" i="44"/>
  <c r="H89" i="44"/>
  <c r="I89" i="44" s="1"/>
  <c r="H33" i="44"/>
  <c r="G34" i="44"/>
  <c r="I34" i="44" s="1"/>
  <c r="G56" i="44"/>
  <c r="I56" i="44" s="1"/>
  <c r="H55" i="44"/>
  <c r="H29" i="44"/>
  <c r="G30" i="44"/>
  <c r="I30" i="44" s="1"/>
  <c r="G51" i="44"/>
  <c r="I51" i="44" s="1"/>
  <c r="I23" i="44"/>
  <c r="I15" i="44"/>
  <c r="H107" i="44"/>
  <c r="I107" i="44" s="1"/>
  <c r="G33" i="44"/>
  <c r="I33" i="44" s="1"/>
  <c r="G53" i="44"/>
  <c r="I53" i="44" s="1"/>
  <c r="H52" i="44"/>
  <c r="G8" i="44"/>
  <c r="I8" i="44" s="1"/>
  <c r="H7" i="44"/>
  <c r="G40" i="44"/>
  <c r="I40" i="44" s="1"/>
  <c r="H39" i="44"/>
  <c r="G57" i="44"/>
  <c r="I57" i="44" s="1"/>
  <c r="H56" i="44"/>
  <c r="H41" i="44"/>
  <c r="G42" i="44"/>
  <c r="I42" i="44" s="1"/>
  <c r="F99" i="44"/>
  <c r="H97" i="44"/>
  <c r="I97" i="44" s="1"/>
  <c r="G3" i="44"/>
  <c r="I3" i="44" s="1"/>
  <c r="H25" i="44"/>
  <c r="G26" i="44"/>
  <c r="I26" i="44" s="1"/>
  <c r="G24" i="44"/>
  <c r="I24" i="44" s="1"/>
  <c r="H23" i="44"/>
  <c r="G16" i="44"/>
  <c r="I16" i="44" s="1"/>
  <c r="H15" i="44"/>
  <c r="H5" i="44"/>
  <c r="I5" i="44"/>
  <c r="G6" i="44"/>
  <c r="I6" i="44" s="1"/>
  <c r="G32" i="44"/>
  <c r="I32" i="44" s="1"/>
  <c r="H31" i="44"/>
  <c r="F83" i="44"/>
  <c r="H81" i="44"/>
  <c r="I81" i="44" s="1"/>
  <c r="I71" i="44"/>
  <c r="K6" i="31"/>
  <c r="K3" i="33"/>
  <c r="J3" i="33"/>
  <c r="I3" i="33"/>
  <c r="H3" i="33"/>
  <c r="E22" i="40"/>
  <c r="F22" i="40" s="1"/>
  <c r="I22" i="40" s="1"/>
  <c r="E15" i="40"/>
  <c r="E16" i="40"/>
  <c r="E17" i="40"/>
  <c r="F17" i="40" s="1"/>
  <c r="I17" i="40" s="1"/>
  <c r="E18" i="40"/>
  <c r="E19" i="40"/>
  <c r="E20" i="40"/>
  <c r="E21" i="40"/>
  <c r="E23" i="40"/>
  <c r="E24" i="40"/>
  <c r="E25" i="40"/>
  <c r="F25" i="40" s="1"/>
  <c r="I25" i="40" s="1"/>
  <c r="E26" i="40"/>
  <c r="E27" i="40"/>
  <c r="E28" i="40"/>
  <c r="E29" i="40"/>
  <c r="E30" i="40"/>
  <c r="F30" i="40" s="1"/>
  <c r="I30" i="40" s="1"/>
  <c r="E31" i="40"/>
  <c r="E32" i="40"/>
  <c r="E33" i="40"/>
  <c r="F33" i="40" s="1"/>
  <c r="I33" i="40" s="1"/>
  <c r="E34" i="40"/>
  <c r="E35" i="40"/>
  <c r="E36" i="40"/>
  <c r="E37" i="40"/>
  <c r="E38" i="40"/>
  <c r="F38" i="40" s="1"/>
  <c r="I38" i="40" s="1"/>
  <c r="E39" i="40"/>
  <c r="E40" i="40"/>
  <c r="E41" i="40"/>
  <c r="F41" i="40" s="1"/>
  <c r="I41" i="40" s="1"/>
  <c r="E42" i="40"/>
  <c r="E43" i="40"/>
  <c r="E44" i="40"/>
  <c r="E45" i="40"/>
  <c r="E46" i="40"/>
  <c r="F46" i="40" s="1"/>
  <c r="I46" i="40" s="1"/>
  <c r="E47" i="40"/>
  <c r="E48" i="40"/>
  <c r="E49" i="40"/>
  <c r="F49" i="40" s="1"/>
  <c r="I49" i="40" s="1"/>
  <c r="E50" i="40"/>
  <c r="E51" i="40"/>
  <c r="E52" i="40"/>
  <c r="E53" i="40"/>
  <c r="E55" i="40"/>
  <c r="E56" i="40"/>
  <c r="E57" i="40"/>
  <c r="F57" i="40" s="1"/>
  <c r="I57" i="40" s="1"/>
  <c r="E58" i="40"/>
  <c r="E59" i="40"/>
  <c r="E60" i="40"/>
  <c r="E3" i="40"/>
  <c r="E4" i="40"/>
  <c r="E5" i="40"/>
  <c r="E7" i="40"/>
  <c r="F7" i="40" s="1"/>
  <c r="I7" i="40" s="1"/>
  <c r="E8" i="40"/>
  <c r="E9" i="40"/>
  <c r="E10" i="40"/>
  <c r="E11" i="40"/>
  <c r="E12" i="40"/>
  <c r="F12" i="40" s="1"/>
  <c r="I12" i="40" s="1"/>
  <c r="E13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5" i="40"/>
  <c r="B56" i="40"/>
  <c r="B57" i="40"/>
  <c r="B58" i="40"/>
  <c r="B59" i="40"/>
  <c r="B60" i="40"/>
  <c r="B2" i="40"/>
  <c r="B14" i="40"/>
  <c r="B13" i="40"/>
  <c r="B12" i="40"/>
  <c r="B11" i="40"/>
  <c r="B10" i="40"/>
  <c r="B9" i="40"/>
  <c r="B8" i="40"/>
  <c r="B7" i="40"/>
  <c r="B6" i="40"/>
  <c r="B5" i="40"/>
  <c r="B4" i="40"/>
  <c r="B3" i="40"/>
  <c r="I130" i="44" l="1"/>
  <c r="I61" i="44"/>
  <c r="H130" i="44"/>
  <c r="F45" i="40"/>
  <c r="I45" i="40" s="1"/>
  <c r="F21" i="40"/>
  <c r="I21" i="40" s="1"/>
  <c r="H30" i="40"/>
  <c r="G30" i="40"/>
  <c r="F9" i="40"/>
  <c r="I9" i="40" s="1"/>
  <c r="F59" i="40"/>
  <c r="I59" i="40" s="1"/>
  <c r="F51" i="40"/>
  <c r="I51" i="40" s="1"/>
  <c r="F43" i="40"/>
  <c r="I43" i="40" s="1"/>
  <c r="F35" i="40"/>
  <c r="I35" i="40" s="1"/>
  <c r="F27" i="40"/>
  <c r="I27" i="40" s="1"/>
  <c r="F19" i="40"/>
  <c r="I19" i="40" s="1"/>
  <c r="G57" i="40"/>
  <c r="H57" i="40"/>
  <c r="G25" i="40"/>
  <c r="H25" i="40"/>
  <c r="F53" i="40"/>
  <c r="I53" i="40" s="1"/>
  <c r="G33" i="40"/>
  <c r="H33" i="40"/>
  <c r="F10" i="40"/>
  <c r="I10" i="40" s="1"/>
  <c r="F44" i="40"/>
  <c r="I44" i="40" s="1"/>
  <c r="F28" i="40"/>
  <c r="I28" i="40" s="1"/>
  <c r="F50" i="40"/>
  <c r="I50" i="40" s="1"/>
  <c r="F34" i="40"/>
  <c r="I34" i="40" s="1"/>
  <c r="F26" i="40"/>
  <c r="I26" i="40" s="1"/>
  <c r="F18" i="40"/>
  <c r="I18" i="40" s="1"/>
  <c r="H22" i="40"/>
  <c r="G22" i="40"/>
  <c r="G49" i="40"/>
  <c r="H49" i="40"/>
  <c r="G17" i="40"/>
  <c r="H17" i="40"/>
  <c r="F60" i="40"/>
  <c r="I60" i="40" s="1"/>
  <c r="F36" i="40"/>
  <c r="I36" i="40" s="1"/>
  <c r="F8" i="40"/>
  <c r="I8" i="40" s="1"/>
  <c r="F42" i="40"/>
  <c r="I42" i="40" s="1"/>
  <c r="F56" i="40"/>
  <c r="I56" i="40" s="1"/>
  <c r="F40" i="40"/>
  <c r="I40" i="40" s="1"/>
  <c r="F24" i="40"/>
  <c r="I24" i="40" s="1"/>
  <c r="H46" i="40"/>
  <c r="G46" i="40"/>
  <c r="F13" i="40"/>
  <c r="I13" i="40" s="1"/>
  <c r="F5" i="40"/>
  <c r="I5" i="40" s="1"/>
  <c r="F55" i="40"/>
  <c r="I55" i="40" s="1"/>
  <c r="F47" i="40"/>
  <c r="I47" i="40" s="1"/>
  <c r="F39" i="40"/>
  <c r="I39" i="40" s="1"/>
  <c r="F31" i="40"/>
  <c r="I31" i="40" s="1"/>
  <c r="F23" i="40"/>
  <c r="I23" i="40" s="1"/>
  <c r="F15" i="40"/>
  <c r="I15" i="40" s="1"/>
  <c r="G41" i="40"/>
  <c r="H41" i="40"/>
  <c r="F37" i="40"/>
  <c r="I37" i="40" s="1"/>
  <c r="F29" i="40"/>
  <c r="I29" i="40" s="1"/>
  <c r="F52" i="40"/>
  <c r="I52" i="40" s="1"/>
  <c r="F20" i="40"/>
  <c r="I20" i="40" s="1"/>
  <c r="F58" i="40"/>
  <c r="I58" i="40" s="1"/>
  <c r="F48" i="40"/>
  <c r="I48" i="40" s="1"/>
  <c r="F32" i="40"/>
  <c r="I32" i="40" s="1"/>
  <c r="F16" i="40"/>
  <c r="I16" i="40" s="1"/>
  <c r="H38" i="40"/>
  <c r="G38" i="40"/>
  <c r="H7" i="40"/>
  <c r="G7" i="40"/>
  <c r="F4" i="40"/>
  <c r="I4" i="40" s="1"/>
  <c r="H12" i="40"/>
  <c r="G12" i="40"/>
  <c r="E14" i="40"/>
  <c r="F14" i="40" s="1"/>
  <c r="I14" i="40" s="1"/>
  <c r="E6" i="40"/>
  <c r="F6" i="40" s="1"/>
  <c r="I6" i="40" s="1"/>
  <c r="F11" i="40"/>
  <c r="I11" i="40" s="1"/>
  <c r="F3" i="40"/>
  <c r="I3" i="40" s="1"/>
  <c r="D133" i="44" l="1"/>
  <c r="D67" i="44"/>
  <c r="K12" i="40"/>
  <c r="K54" i="40"/>
  <c r="K7" i="40"/>
  <c r="K46" i="40"/>
  <c r="K41" i="40"/>
  <c r="K38" i="40"/>
  <c r="K57" i="40"/>
  <c r="K49" i="40"/>
  <c r="K33" i="40"/>
  <c r="K30" i="40"/>
  <c r="K25" i="40"/>
  <c r="K22" i="40"/>
  <c r="K17" i="40"/>
  <c r="K14" i="40"/>
  <c r="H6" i="40"/>
  <c r="K6" i="40" s="1"/>
  <c r="G6" i="40"/>
  <c r="H20" i="40"/>
  <c r="K20" i="40" s="1"/>
  <c r="G20" i="40"/>
  <c r="H24" i="40"/>
  <c r="K24" i="40" s="1"/>
  <c r="G24" i="40"/>
  <c r="H8" i="40"/>
  <c r="K8" i="40" s="1"/>
  <c r="G8" i="40"/>
  <c r="G50" i="40"/>
  <c r="H50" i="40"/>
  <c r="K50" i="40" s="1"/>
  <c r="H43" i="40"/>
  <c r="K43" i="40" s="1"/>
  <c r="G43" i="40"/>
  <c r="G14" i="40"/>
  <c r="H14" i="40"/>
  <c r="H16" i="40"/>
  <c r="K16" i="40" s="1"/>
  <c r="G16" i="40"/>
  <c r="H31" i="40"/>
  <c r="K31" i="40" s="1"/>
  <c r="G31" i="40"/>
  <c r="G5" i="40"/>
  <c r="H5" i="40"/>
  <c r="K5" i="40" s="1"/>
  <c r="H28" i="40"/>
  <c r="K28" i="40" s="1"/>
  <c r="G28" i="40"/>
  <c r="G4" i="40"/>
  <c r="H4" i="40"/>
  <c r="K4" i="40" s="1"/>
  <c r="G13" i="40"/>
  <c r="H13" i="40"/>
  <c r="K13" i="40" s="1"/>
  <c r="H40" i="40"/>
  <c r="K40" i="40" s="1"/>
  <c r="G40" i="40"/>
  <c r="H36" i="40"/>
  <c r="K36" i="40" s="1"/>
  <c r="G36" i="40"/>
  <c r="G18" i="40"/>
  <c r="H18" i="40"/>
  <c r="K18" i="40" s="1"/>
  <c r="H19" i="40"/>
  <c r="K19" i="40" s="1"/>
  <c r="G19" i="40"/>
  <c r="H51" i="40"/>
  <c r="K51" i="40" s="1"/>
  <c r="G51" i="40"/>
  <c r="G3" i="40"/>
  <c r="H3" i="40"/>
  <c r="K3" i="40" s="1"/>
  <c r="H32" i="40"/>
  <c r="K32" i="40" s="1"/>
  <c r="G32" i="40"/>
  <c r="H39" i="40"/>
  <c r="K39" i="40" s="1"/>
  <c r="G39" i="40"/>
  <c r="H60" i="40"/>
  <c r="K60" i="40" s="1"/>
  <c r="G60" i="40"/>
  <c r="H44" i="40"/>
  <c r="K44" i="40" s="1"/>
  <c r="G44" i="40"/>
  <c r="H53" i="40"/>
  <c r="K53" i="40" s="1"/>
  <c r="G53" i="40"/>
  <c r="H27" i="40"/>
  <c r="K27" i="40" s="1"/>
  <c r="G27" i="40"/>
  <c r="H29" i="40"/>
  <c r="K29" i="40" s="1"/>
  <c r="G29" i="40"/>
  <c r="H47" i="40"/>
  <c r="K47" i="40" s="1"/>
  <c r="G47" i="40"/>
  <c r="H21" i="40"/>
  <c r="K21" i="40" s="1"/>
  <c r="G21" i="40"/>
  <c r="H42" i="40"/>
  <c r="K42" i="40" s="1"/>
  <c r="G42" i="40"/>
  <c r="G34" i="40"/>
  <c r="H34" i="40"/>
  <c r="K34" i="40" s="1"/>
  <c r="G10" i="40"/>
  <c r="H10" i="40"/>
  <c r="K10" i="40" s="1"/>
  <c r="H35" i="40"/>
  <c r="K35" i="40" s="1"/>
  <c r="G35" i="40"/>
  <c r="H52" i="40"/>
  <c r="K52" i="40" s="1"/>
  <c r="G52" i="40"/>
  <c r="G11" i="40"/>
  <c r="H11" i="40"/>
  <c r="K11" i="40" s="1"/>
  <c r="H56" i="40"/>
  <c r="K56" i="40" s="1"/>
  <c r="G56" i="40"/>
  <c r="G26" i="40"/>
  <c r="H26" i="40"/>
  <c r="K26" i="40" s="1"/>
  <c r="H59" i="40"/>
  <c r="K59" i="40" s="1"/>
  <c r="G59" i="40"/>
  <c r="H48" i="40"/>
  <c r="K48" i="40" s="1"/>
  <c r="G48" i="40"/>
  <c r="H15" i="40"/>
  <c r="K15" i="40" s="1"/>
  <c r="G15" i="40"/>
  <c r="H58" i="40"/>
  <c r="K58" i="40" s="1"/>
  <c r="G58" i="40"/>
  <c r="H37" i="40"/>
  <c r="K37" i="40" s="1"/>
  <c r="G37" i="40"/>
  <c r="H23" i="40"/>
  <c r="K23" i="40" s="1"/>
  <c r="G23" i="40"/>
  <c r="H55" i="40"/>
  <c r="K55" i="40" s="1"/>
  <c r="G55" i="40"/>
  <c r="G9" i="40"/>
  <c r="H9" i="40"/>
  <c r="K9" i="40" s="1"/>
  <c r="H45" i="40"/>
  <c r="K45" i="40" s="1"/>
  <c r="G45" i="40"/>
  <c r="J7" i="40" l="1"/>
  <c r="J15" i="40"/>
  <c r="J23" i="40"/>
  <c r="J31" i="40"/>
  <c r="J39" i="40"/>
  <c r="J47" i="40"/>
  <c r="J55" i="40"/>
  <c r="J13" i="40"/>
  <c r="J53" i="40"/>
  <c r="J30" i="40"/>
  <c r="J8" i="40"/>
  <c r="J16" i="40"/>
  <c r="J24" i="40"/>
  <c r="J32" i="40"/>
  <c r="J40" i="40"/>
  <c r="J48" i="40"/>
  <c r="J56" i="40"/>
  <c r="J37" i="40"/>
  <c r="J46" i="40"/>
  <c r="J2" i="40"/>
  <c r="J9" i="40"/>
  <c r="J17" i="40"/>
  <c r="J25" i="40"/>
  <c r="J33" i="40"/>
  <c r="J41" i="40"/>
  <c r="J49" i="40"/>
  <c r="J57" i="40"/>
  <c r="J5" i="40"/>
  <c r="J22" i="40"/>
  <c r="J10" i="40"/>
  <c r="J18" i="40"/>
  <c r="J26" i="40"/>
  <c r="J34" i="40"/>
  <c r="J42" i="40"/>
  <c r="J50" i="40"/>
  <c r="J58" i="40"/>
  <c r="J21" i="40"/>
  <c r="J14" i="40"/>
  <c r="J11" i="40"/>
  <c r="J19" i="40"/>
  <c r="J27" i="40"/>
  <c r="J35" i="40"/>
  <c r="J43" i="40"/>
  <c r="J51" i="40"/>
  <c r="J59" i="40"/>
  <c r="J29" i="40"/>
  <c r="J38" i="40"/>
  <c r="J4" i="40"/>
  <c r="J12" i="40"/>
  <c r="J20" i="40"/>
  <c r="J28" i="40"/>
  <c r="J36" i="40"/>
  <c r="J44" i="40"/>
  <c r="J52" i="40"/>
  <c r="J60" i="40"/>
  <c r="P7" i="40" s="1"/>
  <c r="C6" i="38" s="1"/>
  <c r="J45" i="40"/>
  <c r="J6" i="40"/>
  <c r="J54" i="40"/>
  <c r="E6" i="38"/>
  <c r="O7" i="40"/>
  <c r="S7" i="40" l="1"/>
  <c r="F6" i="38" s="1"/>
  <c r="B6" i="38"/>
  <c r="D6" i="38"/>
  <c r="C5" i="38" l="1"/>
  <c r="F5" i="38"/>
  <c r="B5" i="38"/>
  <c r="C3" i="38"/>
  <c r="F3" i="38"/>
  <c r="B3" i="38"/>
  <c r="H3" i="34"/>
  <c r="J3" i="34"/>
  <c r="I3" i="34"/>
  <c r="K3" i="34"/>
  <c r="J4" i="37"/>
  <c r="J7" i="37"/>
  <c r="J6" i="37"/>
  <c r="J5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2" i="37"/>
  <c r="F14" i="37"/>
  <c r="F15" i="37"/>
  <c r="F16" i="37"/>
  <c r="F17" i="37"/>
  <c r="F18" i="37"/>
  <c r="F19" i="37"/>
  <c r="F20" i="37"/>
  <c r="F21" i="37"/>
  <c r="F22" i="37"/>
  <c r="F23" i="37"/>
  <c r="F24" i="37"/>
  <c r="F25" i="37"/>
  <c r="F26" i="37"/>
  <c r="F27" i="37"/>
  <c r="F28" i="37"/>
  <c r="F29" i="37"/>
  <c r="F30" i="37"/>
  <c r="F31" i="37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3" i="37"/>
  <c r="G3" i="37" s="1"/>
  <c r="F4" i="37"/>
  <c r="F5" i="37"/>
  <c r="F6" i="37"/>
  <c r="F7" i="37"/>
  <c r="G7" i="37" s="1"/>
  <c r="F8" i="37"/>
  <c r="F9" i="37"/>
  <c r="F10" i="37"/>
  <c r="G10" i="37" s="1"/>
  <c r="F11" i="37"/>
  <c r="G11" i="37" s="1"/>
  <c r="F12" i="37"/>
  <c r="F13" i="37"/>
  <c r="F2" i="37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40" i="37"/>
  <c r="E41" i="37"/>
  <c r="E42" i="37"/>
  <c r="E43" i="37"/>
  <c r="E44" i="37"/>
  <c r="E45" i="37"/>
  <c r="E46" i="37"/>
  <c r="E47" i="37"/>
  <c r="E48" i="37"/>
  <c r="E49" i="37"/>
  <c r="E50" i="37"/>
  <c r="E51" i="37"/>
  <c r="E52" i="37"/>
  <c r="E53" i="37"/>
  <c r="E54" i="37"/>
  <c r="E55" i="37"/>
  <c r="E56" i="37"/>
  <c r="E57" i="37"/>
  <c r="E58" i="37"/>
  <c r="E4" i="37"/>
  <c r="B60" i="37"/>
  <c r="B59" i="37"/>
  <c r="B58" i="37"/>
  <c r="B57" i="37"/>
  <c r="B56" i="37"/>
  <c r="B55" i="37"/>
  <c r="B54" i="37"/>
  <c r="B53" i="37"/>
  <c r="B52" i="37"/>
  <c r="B51" i="37"/>
  <c r="B50" i="37"/>
  <c r="B49" i="37"/>
  <c r="B48" i="37"/>
  <c r="B47" i="37"/>
  <c r="B46" i="37"/>
  <c r="B45" i="37"/>
  <c r="B44" i="37"/>
  <c r="B43" i="37"/>
  <c r="B42" i="37"/>
  <c r="B41" i="37"/>
  <c r="B40" i="37"/>
  <c r="B39" i="37"/>
  <c r="B38" i="37"/>
  <c r="B37" i="37"/>
  <c r="B36" i="37"/>
  <c r="B35" i="37"/>
  <c r="B34" i="37"/>
  <c r="B33" i="37"/>
  <c r="B32" i="37"/>
  <c r="B31" i="37"/>
  <c r="B30" i="37"/>
  <c r="B29" i="37"/>
  <c r="B28" i="37"/>
  <c r="B27" i="37"/>
  <c r="B26" i="37"/>
  <c r="B25" i="37"/>
  <c r="B24" i="37"/>
  <c r="B23" i="37"/>
  <c r="B22" i="37"/>
  <c r="B21" i="37"/>
  <c r="B20" i="37"/>
  <c r="B19" i="37"/>
  <c r="B18" i="37"/>
  <c r="B17" i="37"/>
  <c r="B16" i="37"/>
  <c r="B15" i="37"/>
  <c r="B14" i="37"/>
  <c r="B13" i="37"/>
  <c r="B12" i="37"/>
  <c r="B11" i="37"/>
  <c r="B10" i="37"/>
  <c r="B9" i="37"/>
  <c r="B8" i="37"/>
  <c r="B7" i="37"/>
  <c r="B6" i="37"/>
  <c r="B5" i="37"/>
  <c r="B4" i="37"/>
  <c r="B3" i="37"/>
  <c r="B2" i="37"/>
  <c r="G13" i="37"/>
  <c r="G12" i="37"/>
  <c r="G9" i="37"/>
  <c r="G8" i="37"/>
  <c r="G6" i="37"/>
  <c r="G5" i="37"/>
  <c r="G4" i="37"/>
  <c r="G3" i="34" l="1"/>
  <c r="E3" i="34"/>
  <c r="D2" i="34"/>
  <c r="C2" i="34"/>
  <c r="F3" i="34" l="1"/>
  <c r="C3" i="33"/>
  <c r="D4" i="33" s="1"/>
  <c r="E4" i="33" s="1"/>
  <c r="D6" i="31"/>
  <c r="C5" i="31"/>
  <c r="D26" i="31"/>
  <c r="G3" i="33"/>
  <c r="F3" i="33"/>
  <c r="E3" i="33"/>
  <c r="D3" i="33"/>
  <c r="C2" i="33"/>
  <c r="C30" i="31"/>
  <c r="D30" i="31" s="1"/>
  <c r="E30" i="31" s="1"/>
  <c r="F29" i="31" s="1"/>
  <c r="I29" i="31" s="1"/>
  <c r="F60" i="31"/>
  <c r="I60" i="31" s="1"/>
  <c r="C6" i="31"/>
  <c r="E6" i="31" s="1"/>
  <c r="C7" i="31"/>
  <c r="D7" i="31" s="1"/>
  <c r="E7" i="31" s="1"/>
  <c r="F6" i="31" s="1"/>
  <c r="C8" i="31"/>
  <c r="D8" i="31" s="1"/>
  <c r="E8" i="31" s="1"/>
  <c r="F7" i="31" s="1"/>
  <c r="I7" i="31" s="1"/>
  <c r="C9" i="31"/>
  <c r="D9" i="31" s="1"/>
  <c r="E9" i="31" s="1"/>
  <c r="F8" i="31" s="1"/>
  <c r="I8" i="31" s="1"/>
  <c r="C10" i="31"/>
  <c r="D10" i="31" s="1"/>
  <c r="E10" i="31" s="1"/>
  <c r="F9" i="31" s="1"/>
  <c r="I9" i="31" s="1"/>
  <c r="C11" i="31"/>
  <c r="D11" i="31" s="1"/>
  <c r="E11" i="31" s="1"/>
  <c r="F10" i="31" s="1"/>
  <c r="I10" i="31" s="1"/>
  <c r="C12" i="31"/>
  <c r="D12" i="31" s="1"/>
  <c r="E12" i="31" s="1"/>
  <c r="F11" i="31" s="1"/>
  <c r="I11" i="31" s="1"/>
  <c r="C13" i="31"/>
  <c r="D13" i="31" s="1"/>
  <c r="E13" i="31" s="1"/>
  <c r="F12" i="31" s="1"/>
  <c r="I12" i="31" s="1"/>
  <c r="C14" i="31"/>
  <c r="D14" i="31" s="1"/>
  <c r="E14" i="31" s="1"/>
  <c r="F13" i="31" s="1"/>
  <c r="I13" i="31" s="1"/>
  <c r="C15" i="31"/>
  <c r="D15" i="31" s="1"/>
  <c r="E15" i="31" s="1"/>
  <c r="F14" i="31" s="1"/>
  <c r="I14" i="31" s="1"/>
  <c r="C16" i="31"/>
  <c r="D16" i="31" s="1"/>
  <c r="E16" i="31" s="1"/>
  <c r="F15" i="31" s="1"/>
  <c r="I15" i="31" s="1"/>
  <c r="C17" i="31"/>
  <c r="D17" i="31" s="1"/>
  <c r="E17" i="31" s="1"/>
  <c r="F16" i="31" s="1"/>
  <c r="I16" i="31" s="1"/>
  <c r="C18" i="31"/>
  <c r="D18" i="31" s="1"/>
  <c r="E18" i="31" s="1"/>
  <c r="F17" i="31" s="1"/>
  <c r="I17" i="31" s="1"/>
  <c r="C19" i="31"/>
  <c r="D19" i="31" s="1"/>
  <c r="E19" i="31" s="1"/>
  <c r="F18" i="31" s="1"/>
  <c r="I18" i="31" s="1"/>
  <c r="C20" i="31"/>
  <c r="D20" i="31" s="1"/>
  <c r="E20" i="31" s="1"/>
  <c r="F19" i="31" s="1"/>
  <c r="I19" i="31" s="1"/>
  <c r="C21" i="31"/>
  <c r="D21" i="31" s="1"/>
  <c r="E21" i="31" s="1"/>
  <c r="F20" i="31" s="1"/>
  <c r="I20" i="31" s="1"/>
  <c r="C22" i="31"/>
  <c r="D22" i="31" s="1"/>
  <c r="E22" i="31" s="1"/>
  <c r="F21" i="31" s="1"/>
  <c r="I21" i="31" s="1"/>
  <c r="C23" i="31"/>
  <c r="D23" i="31" s="1"/>
  <c r="E23" i="31" s="1"/>
  <c r="F22" i="31" s="1"/>
  <c r="I22" i="31" s="1"/>
  <c r="C24" i="31"/>
  <c r="D24" i="31" s="1"/>
  <c r="E24" i="31" s="1"/>
  <c r="F23" i="31" s="1"/>
  <c r="I23" i="31" s="1"/>
  <c r="C25" i="31"/>
  <c r="D25" i="31" s="1"/>
  <c r="E25" i="31" s="1"/>
  <c r="F24" i="31" s="1"/>
  <c r="I24" i="31" s="1"/>
  <c r="C26" i="31"/>
  <c r="E26" i="31" s="1"/>
  <c r="F25" i="31" s="1"/>
  <c r="I25" i="31" s="1"/>
  <c r="C27" i="31"/>
  <c r="D27" i="31" s="1"/>
  <c r="E27" i="31" s="1"/>
  <c r="F26" i="31" s="1"/>
  <c r="I26" i="31" s="1"/>
  <c r="C28" i="31"/>
  <c r="D28" i="31" s="1"/>
  <c r="E28" i="31" s="1"/>
  <c r="F27" i="31" s="1"/>
  <c r="I27" i="31" s="1"/>
  <c r="C29" i="31"/>
  <c r="D29" i="31" s="1"/>
  <c r="E29" i="31" s="1"/>
  <c r="F28" i="31" s="1"/>
  <c r="I28" i="31" s="1"/>
  <c r="C31" i="31"/>
  <c r="D31" i="31" s="1"/>
  <c r="E31" i="31" s="1"/>
  <c r="F30" i="31" s="1"/>
  <c r="I30" i="31" s="1"/>
  <c r="C32" i="31"/>
  <c r="D32" i="31" s="1"/>
  <c r="E32" i="31" s="1"/>
  <c r="F31" i="31" s="1"/>
  <c r="I31" i="31" s="1"/>
  <c r="C33" i="31"/>
  <c r="D33" i="31" s="1"/>
  <c r="E33" i="31" s="1"/>
  <c r="F32" i="31" s="1"/>
  <c r="I32" i="31" s="1"/>
  <c r="C34" i="31"/>
  <c r="D34" i="31" s="1"/>
  <c r="E34" i="31" s="1"/>
  <c r="F33" i="31" s="1"/>
  <c r="I33" i="31" s="1"/>
  <c r="C35" i="31"/>
  <c r="D35" i="31" s="1"/>
  <c r="E35" i="31" s="1"/>
  <c r="F34" i="31" s="1"/>
  <c r="I34" i="31" s="1"/>
  <c r="C36" i="31"/>
  <c r="D36" i="31" s="1"/>
  <c r="E36" i="31" s="1"/>
  <c r="F35" i="31" s="1"/>
  <c r="I35" i="31" s="1"/>
  <c r="C37" i="31"/>
  <c r="D37" i="31" s="1"/>
  <c r="E37" i="31" s="1"/>
  <c r="F36" i="31" s="1"/>
  <c r="I36" i="31" s="1"/>
  <c r="C38" i="31"/>
  <c r="D38" i="31" s="1"/>
  <c r="E38" i="31" s="1"/>
  <c r="F37" i="31" s="1"/>
  <c r="I37" i="31" s="1"/>
  <c r="C39" i="31"/>
  <c r="D39" i="31" s="1"/>
  <c r="E39" i="31" s="1"/>
  <c r="F38" i="31" s="1"/>
  <c r="I38" i="31" s="1"/>
  <c r="C40" i="31"/>
  <c r="D40" i="31" s="1"/>
  <c r="E40" i="31" s="1"/>
  <c r="F39" i="31" s="1"/>
  <c r="I39" i="31" s="1"/>
  <c r="C41" i="31"/>
  <c r="D41" i="31" s="1"/>
  <c r="E41" i="31" s="1"/>
  <c r="F40" i="31" s="1"/>
  <c r="I40" i="31" s="1"/>
  <c r="C42" i="31"/>
  <c r="D42" i="31" s="1"/>
  <c r="E42" i="31" s="1"/>
  <c r="F41" i="31" s="1"/>
  <c r="I41" i="31" s="1"/>
  <c r="C43" i="31"/>
  <c r="D43" i="31" s="1"/>
  <c r="E43" i="31" s="1"/>
  <c r="F42" i="31" s="1"/>
  <c r="I42" i="31" s="1"/>
  <c r="C44" i="31"/>
  <c r="D44" i="31" s="1"/>
  <c r="E44" i="31" s="1"/>
  <c r="F43" i="31" s="1"/>
  <c r="I43" i="31" s="1"/>
  <c r="C45" i="31"/>
  <c r="D45" i="31" s="1"/>
  <c r="E45" i="31" s="1"/>
  <c r="F44" i="31" s="1"/>
  <c r="I44" i="31" s="1"/>
  <c r="C46" i="31"/>
  <c r="D46" i="31" s="1"/>
  <c r="E46" i="31" s="1"/>
  <c r="F45" i="31" s="1"/>
  <c r="I45" i="31" s="1"/>
  <c r="C47" i="31"/>
  <c r="D47" i="31" s="1"/>
  <c r="E47" i="31" s="1"/>
  <c r="F46" i="31" s="1"/>
  <c r="I46" i="31" s="1"/>
  <c r="C48" i="31"/>
  <c r="D48" i="31" s="1"/>
  <c r="E48" i="31" s="1"/>
  <c r="F47" i="31" s="1"/>
  <c r="I47" i="31" s="1"/>
  <c r="C49" i="31"/>
  <c r="D49" i="31" s="1"/>
  <c r="E49" i="31" s="1"/>
  <c r="F48" i="31" s="1"/>
  <c r="I48" i="31" s="1"/>
  <c r="C50" i="31"/>
  <c r="D50" i="31" s="1"/>
  <c r="E50" i="31" s="1"/>
  <c r="F49" i="31" s="1"/>
  <c r="I49" i="31" s="1"/>
  <c r="C51" i="31"/>
  <c r="D51" i="31" s="1"/>
  <c r="E51" i="31" s="1"/>
  <c r="F50" i="31" s="1"/>
  <c r="I50" i="31" s="1"/>
  <c r="C52" i="31"/>
  <c r="D52" i="31" s="1"/>
  <c r="E52" i="31" s="1"/>
  <c r="F51" i="31" s="1"/>
  <c r="I51" i="31" s="1"/>
  <c r="C53" i="31"/>
  <c r="D53" i="31" s="1"/>
  <c r="E53" i="31" s="1"/>
  <c r="F52" i="31" s="1"/>
  <c r="I52" i="31" s="1"/>
  <c r="C54" i="31"/>
  <c r="D54" i="31" s="1"/>
  <c r="E54" i="31" s="1"/>
  <c r="F53" i="31" s="1"/>
  <c r="I53" i="31" s="1"/>
  <c r="C55" i="31"/>
  <c r="D55" i="31" s="1"/>
  <c r="E55" i="31" s="1"/>
  <c r="F54" i="31" s="1"/>
  <c r="I54" i="31" s="1"/>
  <c r="C56" i="31"/>
  <c r="D56" i="31" s="1"/>
  <c r="E56" i="31" s="1"/>
  <c r="F55" i="31" s="1"/>
  <c r="I55" i="31" s="1"/>
  <c r="C57" i="31"/>
  <c r="D57" i="31" s="1"/>
  <c r="E57" i="31" s="1"/>
  <c r="F56" i="31" s="1"/>
  <c r="I56" i="31" s="1"/>
  <c r="C58" i="31"/>
  <c r="D58" i="31" s="1"/>
  <c r="E58" i="31" s="1"/>
  <c r="F57" i="31" s="1"/>
  <c r="I57" i="31" s="1"/>
  <c r="C59" i="31"/>
  <c r="D59" i="31" s="1"/>
  <c r="E59" i="31" s="1"/>
  <c r="F58" i="31" s="1"/>
  <c r="I58" i="31" s="1"/>
  <c r="C60" i="31"/>
  <c r="D60" i="31" s="1"/>
  <c r="E60" i="31" s="1"/>
  <c r="F59" i="31" s="1"/>
  <c r="I59" i="31" s="1"/>
  <c r="D134" i="32"/>
  <c r="H131" i="32"/>
  <c r="I131" i="32"/>
  <c r="I72" i="32"/>
  <c r="I73" i="32"/>
  <c r="I74" i="32"/>
  <c r="I75" i="32"/>
  <c r="I76" i="32"/>
  <c r="I77" i="32"/>
  <c r="I78" i="32"/>
  <c r="I79" i="32"/>
  <c r="I80" i="32"/>
  <c r="I81" i="32"/>
  <c r="I82" i="32"/>
  <c r="I83" i="32"/>
  <c r="I84" i="32"/>
  <c r="I85" i="32"/>
  <c r="I86" i="32"/>
  <c r="I87" i="32"/>
  <c r="I88" i="32"/>
  <c r="I89" i="32"/>
  <c r="I90" i="32"/>
  <c r="I91" i="32"/>
  <c r="I92" i="32"/>
  <c r="I93" i="32"/>
  <c r="I94" i="32"/>
  <c r="I95" i="32"/>
  <c r="I96" i="32"/>
  <c r="I97" i="32"/>
  <c r="I98" i="32"/>
  <c r="I99" i="32"/>
  <c r="I100" i="32"/>
  <c r="I101" i="32"/>
  <c r="I102" i="32"/>
  <c r="I103" i="32"/>
  <c r="I104" i="32"/>
  <c r="I105" i="32"/>
  <c r="I106" i="32"/>
  <c r="I107" i="32"/>
  <c r="I108" i="32"/>
  <c r="I109" i="32"/>
  <c r="I110" i="32"/>
  <c r="I111" i="32"/>
  <c r="I112" i="32"/>
  <c r="I113" i="32"/>
  <c r="I114" i="32"/>
  <c r="I115" i="32"/>
  <c r="I116" i="32"/>
  <c r="I117" i="32"/>
  <c r="I118" i="32"/>
  <c r="I119" i="32"/>
  <c r="I120" i="32"/>
  <c r="I121" i="32"/>
  <c r="I122" i="32"/>
  <c r="I123" i="32"/>
  <c r="I124" i="32"/>
  <c r="I125" i="32"/>
  <c r="I126" i="32"/>
  <c r="I127" i="32"/>
  <c r="I128" i="32"/>
  <c r="I129" i="32"/>
  <c r="I130" i="32"/>
  <c r="H72" i="32"/>
  <c r="H73" i="32"/>
  <c r="H74" i="32"/>
  <c r="H75" i="32"/>
  <c r="H76" i="32"/>
  <c r="H77" i="32"/>
  <c r="H78" i="32"/>
  <c r="H79" i="32"/>
  <c r="H80" i="32"/>
  <c r="H81" i="32"/>
  <c r="H82" i="32"/>
  <c r="H83" i="32"/>
  <c r="H84" i="32"/>
  <c r="H85" i="32"/>
  <c r="H86" i="32"/>
  <c r="H87" i="32"/>
  <c r="H88" i="32"/>
  <c r="H89" i="32"/>
  <c r="H90" i="32"/>
  <c r="H91" i="32"/>
  <c r="H92" i="32"/>
  <c r="H93" i="32"/>
  <c r="H94" i="32"/>
  <c r="H95" i="32"/>
  <c r="H96" i="32"/>
  <c r="H97" i="32"/>
  <c r="H98" i="32"/>
  <c r="H99" i="32"/>
  <c r="H100" i="32"/>
  <c r="H101" i="32"/>
  <c r="H102" i="32"/>
  <c r="H103" i="32"/>
  <c r="H104" i="32"/>
  <c r="H105" i="32"/>
  <c r="H106" i="32"/>
  <c r="H107" i="32"/>
  <c r="H108" i="32"/>
  <c r="H109" i="32"/>
  <c r="H110" i="32"/>
  <c r="H111" i="32"/>
  <c r="H112" i="32"/>
  <c r="H113" i="32"/>
  <c r="H114" i="32"/>
  <c r="H115" i="32"/>
  <c r="H116" i="32"/>
  <c r="H117" i="32"/>
  <c r="H118" i="32"/>
  <c r="H119" i="32"/>
  <c r="H120" i="32"/>
  <c r="H121" i="32"/>
  <c r="H122" i="32"/>
  <c r="H123" i="32"/>
  <c r="H124" i="32"/>
  <c r="H125" i="32"/>
  <c r="H126" i="32"/>
  <c r="H127" i="32"/>
  <c r="H128" i="32"/>
  <c r="H129" i="32"/>
  <c r="H130" i="32"/>
  <c r="F75" i="32"/>
  <c r="F76" i="32"/>
  <c r="F77" i="32"/>
  <c r="F78" i="32"/>
  <c r="F79" i="32"/>
  <c r="F80" i="32"/>
  <c r="F81" i="32"/>
  <c r="F82" i="32"/>
  <c r="F83" i="32"/>
  <c r="F84" i="32"/>
  <c r="F85" i="32"/>
  <c r="F86" i="32"/>
  <c r="F87" i="32"/>
  <c r="F88" i="32"/>
  <c r="F89" i="32"/>
  <c r="F90" i="32"/>
  <c r="F91" i="32"/>
  <c r="F92" i="32"/>
  <c r="F93" i="32"/>
  <c r="F94" i="32"/>
  <c r="F95" i="32"/>
  <c r="F96" i="32"/>
  <c r="F97" i="32"/>
  <c r="F98" i="32"/>
  <c r="F99" i="32"/>
  <c r="F100" i="32"/>
  <c r="F101" i="32"/>
  <c r="F102" i="32"/>
  <c r="F103" i="32"/>
  <c r="F104" i="32"/>
  <c r="F105" i="32"/>
  <c r="F106" i="32"/>
  <c r="F107" i="32"/>
  <c r="F108" i="32"/>
  <c r="F109" i="32"/>
  <c r="F110" i="32"/>
  <c r="F111" i="32"/>
  <c r="F112" i="32"/>
  <c r="F113" i="32"/>
  <c r="F114" i="32"/>
  <c r="F115" i="32"/>
  <c r="F116" i="32"/>
  <c r="F117" i="32"/>
  <c r="F118" i="32"/>
  <c r="F119" i="32"/>
  <c r="F120" i="32"/>
  <c r="F121" i="32"/>
  <c r="F122" i="32"/>
  <c r="F123" i="32"/>
  <c r="F124" i="32"/>
  <c r="F125" i="32"/>
  <c r="F126" i="32"/>
  <c r="F127" i="32"/>
  <c r="F128" i="32"/>
  <c r="F129" i="32"/>
  <c r="F130" i="32"/>
  <c r="F74" i="32"/>
  <c r="E73" i="32"/>
  <c r="E74" i="32"/>
  <c r="E75" i="32"/>
  <c r="E76" i="32"/>
  <c r="E77" i="32"/>
  <c r="E78" i="32"/>
  <c r="E79" i="32"/>
  <c r="E80" i="32"/>
  <c r="E81" i="32"/>
  <c r="E82" i="32"/>
  <c r="E83" i="32"/>
  <c r="E84" i="32"/>
  <c r="E85" i="32"/>
  <c r="E86" i="32"/>
  <c r="E87" i="32"/>
  <c r="E88" i="32"/>
  <c r="E89" i="32"/>
  <c r="E90" i="32"/>
  <c r="E91" i="32"/>
  <c r="E92" i="32"/>
  <c r="E93" i="32"/>
  <c r="E94" i="32"/>
  <c r="E95" i="32"/>
  <c r="E96" i="32"/>
  <c r="E97" i="32"/>
  <c r="E98" i="32"/>
  <c r="E99" i="32"/>
  <c r="E100" i="32"/>
  <c r="E101" i="32"/>
  <c r="E102" i="32"/>
  <c r="E103" i="32"/>
  <c r="E104" i="32"/>
  <c r="E105" i="32"/>
  <c r="E106" i="32"/>
  <c r="E107" i="32"/>
  <c r="E108" i="32"/>
  <c r="E109" i="32"/>
  <c r="E110" i="32"/>
  <c r="E111" i="32"/>
  <c r="E112" i="32"/>
  <c r="E113" i="32"/>
  <c r="E114" i="32"/>
  <c r="E115" i="32"/>
  <c r="E116" i="32"/>
  <c r="E117" i="32"/>
  <c r="E118" i="32"/>
  <c r="E119" i="32"/>
  <c r="E120" i="32"/>
  <c r="E121" i="32"/>
  <c r="E122" i="32"/>
  <c r="E123" i="32"/>
  <c r="E124" i="32"/>
  <c r="E125" i="32"/>
  <c r="E126" i="32"/>
  <c r="E127" i="32"/>
  <c r="E128" i="32"/>
  <c r="E129" i="32"/>
  <c r="E130" i="32"/>
  <c r="E72" i="32"/>
  <c r="E4" i="32"/>
  <c r="D75" i="32"/>
  <c r="D76" i="32"/>
  <c r="D77" i="32"/>
  <c r="D78" i="32"/>
  <c r="D79" i="32"/>
  <c r="D80" i="32"/>
  <c r="D81" i="32"/>
  <c r="D82" i="32"/>
  <c r="D83" i="32"/>
  <c r="D84" i="32"/>
  <c r="D85" i="32"/>
  <c r="D86" i="32"/>
  <c r="D87" i="32"/>
  <c r="D88" i="32"/>
  <c r="D89" i="32"/>
  <c r="D90" i="32"/>
  <c r="D91" i="32"/>
  <c r="D92" i="32"/>
  <c r="D93" i="32"/>
  <c r="D94" i="32"/>
  <c r="D95" i="32"/>
  <c r="D96" i="32"/>
  <c r="D97" i="32"/>
  <c r="D98" i="32"/>
  <c r="D99" i="32"/>
  <c r="D100" i="32"/>
  <c r="D101" i="32"/>
  <c r="D102" i="32"/>
  <c r="D103" i="32"/>
  <c r="D104" i="32"/>
  <c r="D105" i="32"/>
  <c r="D106" i="32"/>
  <c r="D107" i="32"/>
  <c r="D108" i="32"/>
  <c r="D109" i="32"/>
  <c r="D110" i="32"/>
  <c r="D111" i="32"/>
  <c r="D112" i="32"/>
  <c r="D113" i="32"/>
  <c r="D114" i="32"/>
  <c r="D115" i="32"/>
  <c r="D116" i="32"/>
  <c r="D117" i="32"/>
  <c r="D118" i="32"/>
  <c r="D119" i="32"/>
  <c r="D120" i="32"/>
  <c r="D121" i="32"/>
  <c r="D122" i="32"/>
  <c r="D123" i="32"/>
  <c r="D124" i="32"/>
  <c r="D125" i="32"/>
  <c r="D126" i="32"/>
  <c r="D127" i="32"/>
  <c r="D128" i="32"/>
  <c r="D129" i="32"/>
  <c r="D130" i="32"/>
  <c r="D74" i="32"/>
  <c r="C131" i="32"/>
  <c r="C61" i="32"/>
  <c r="F61" i="32"/>
  <c r="I61" i="32"/>
  <c r="D66" i="32"/>
  <c r="F8" i="32" s="1"/>
  <c r="G9" i="32" s="1"/>
  <c r="E6" i="32"/>
  <c r="E7" i="32"/>
  <c r="E8" i="32"/>
  <c r="E9" i="32"/>
  <c r="E10" i="32"/>
  <c r="E11" i="32"/>
  <c r="E12" i="32"/>
  <c r="E13" i="32"/>
  <c r="E14" i="32"/>
  <c r="E15" i="32"/>
  <c r="E16" i="32"/>
  <c r="E17" i="32"/>
  <c r="E18" i="32"/>
  <c r="E19" i="32"/>
  <c r="E20" i="32"/>
  <c r="E21" i="32"/>
  <c r="E22" i="32"/>
  <c r="E23" i="32"/>
  <c r="E24" i="32"/>
  <c r="E25" i="32"/>
  <c r="E26" i="32"/>
  <c r="E27" i="32"/>
  <c r="E28" i="32"/>
  <c r="E29" i="32"/>
  <c r="E30" i="32"/>
  <c r="E31" i="32"/>
  <c r="E32" i="32"/>
  <c r="E33" i="32"/>
  <c r="E34" i="32"/>
  <c r="E35" i="32"/>
  <c r="E36" i="32"/>
  <c r="E37" i="32"/>
  <c r="E38" i="32"/>
  <c r="E39" i="32"/>
  <c r="E40" i="32"/>
  <c r="E41" i="32"/>
  <c r="E42" i="32"/>
  <c r="E43" i="32"/>
  <c r="E44" i="32"/>
  <c r="E45" i="32"/>
  <c r="E46" i="32"/>
  <c r="E47" i="32"/>
  <c r="E48" i="32"/>
  <c r="E49" i="32"/>
  <c r="E50" i="32"/>
  <c r="E51" i="32"/>
  <c r="E52" i="32"/>
  <c r="E53" i="32"/>
  <c r="E54" i="32"/>
  <c r="E55" i="32"/>
  <c r="E56" i="32"/>
  <c r="E57" i="32"/>
  <c r="E58" i="32"/>
  <c r="E59" i="32"/>
  <c r="E60" i="32"/>
  <c r="D4" i="32"/>
  <c r="D5" i="32"/>
  <c r="D6" i="32"/>
  <c r="D7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4" i="32"/>
  <c r="D35" i="32"/>
  <c r="D36" i="32"/>
  <c r="D37" i="32"/>
  <c r="D38" i="32"/>
  <c r="D39" i="32"/>
  <c r="D40" i="32"/>
  <c r="D41" i="32"/>
  <c r="D42" i="32"/>
  <c r="D43" i="32"/>
  <c r="D44" i="32"/>
  <c r="D45" i="32"/>
  <c r="D46" i="32"/>
  <c r="D47" i="32"/>
  <c r="D48" i="32"/>
  <c r="D49" i="32"/>
  <c r="D50" i="32"/>
  <c r="D51" i="32"/>
  <c r="D52" i="32"/>
  <c r="D53" i="32"/>
  <c r="D54" i="32"/>
  <c r="D55" i="32"/>
  <c r="D56" i="32"/>
  <c r="D57" i="32"/>
  <c r="D58" i="32"/>
  <c r="D59" i="32"/>
  <c r="D60" i="32"/>
  <c r="C4" i="33" l="1"/>
  <c r="C5" i="33" s="1"/>
  <c r="C6" i="33" s="1"/>
  <c r="C7" i="33" s="1"/>
  <c r="C8" i="33" s="1"/>
  <c r="C9" i="33" s="1"/>
  <c r="C10" i="33" s="1"/>
  <c r="C11" i="33" s="1"/>
  <c r="C12" i="33" s="1"/>
  <c r="C13" i="33" s="1"/>
  <c r="C14" i="33" s="1"/>
  <c r="C15" i="33" s="1"/>
  <c r="C16" i="33" s="1"/>
  <c r="C17" i="33" s="1"/>
  <c r="C18" i="33" s="1"/>
  <c r="C19" i="33" s="1"/>
  <c r="C20" i="33" s="1"/>
  <c r="C21" i="33" s="1"/>
  <c r="C22" i="33" s="1"/>
  <c r="C23" i="33" s="1"/>
  <c r="C24" i="33" s="1"/>
  <c r="C25" i="33" s="1"/>
  <c r="C26" i="33" s="1"/>
  <c r="C27" i="33" s="1"/>
  <c r="C28" i="33" s="1"/>
  <c r="C29" i="33" s="1"/>
  <c r="C30" i="33" s="1"/>
  <c r="C31" i="33" s="1"/>
  <c r="C32" i="33" s="1"/>
  <c r="C33" i="33" s="1"/>
  <c r="C34" i="33" s="1"/>
  <c r="C35" i="33" s="1"/>
  <c r="C36" i="33" s="1"/>
  <c r="C37" i="33" s="1"/>
  <c r="C38" i="33" s="1"/>
  <c r="C39" i="33" s="1"/>
  <c r="C40" i="33" s="1"/>
  <c r="C41" i="33" s="1"/>
  <c r="C42" i="33" s="1"/>
  <c r="C43" i="33" s="1"/>
  <c r="C44" i="33" s="1"/>
  <c r="C45" i="33" s="1"/>
  <c r="C46" i="33" s="1"/>
  <c r="C47" i="33" s="1"/>
  <c r="C48" i="33" s="1"/>
  <c r="C49" i="33" s="1"/>
  <c r="C50" i="33" s="1"/>
  <c r="C51" i="33" s="1"/>
  <c r="C52" i="33" s="1"/>
  <c r="C53" i="33" s="1"/>
  <c r="C54" i="33" s="1"/>
  <c r="C55" i="33" s="1"/>
  <c r="C56" i="33" s="1"/>
  <c r="C57" i="33" s="1"/>
  <c r="C58" i="33" s="1"/>
  <c r="C59" i="33" s="1"/>
  <c r="C60" i="33" s="1"/>
  <c r="C61" i="33" s="1"/>
  <c r="C3" i="34"/>
  <c r="G4" i="33"/>
  <c r="F4" i="33"/>
  <c r="H4" i="33" s="1"/>
  <c r="K4" i="33" s="1"/>
  <c r="H13" i="31"/>
  <c r="H21" i="31"/>
  <c r="H29" i="31"/>
  <c r="H37" i="31"/>
  <c r="H45" i="31"/>
  <c r="H53" i="31"/>
  <c r="H34" i="31"/>
  <c r="K34" i="31" s="1"/>
  <c r="H6" i="31"/>
  <c r="H14" i="31"/>
  <c r="H22" i="31"/>
  <c r="H30" i="31"/>
  <c r="H38" i="31"/>
  <c r="H46" i="31"/>
  <c r="H54" i="31"/>
  <c r="H10" i="31"/>
  <c r="H58" i="31"/>
  <c r="K58" i="31" s="1"/>
  <c r="I6" i="31"/>
  <c r="H7" i="31"/>
  <c r="H15" i="31"/>
  <c r="H23" i="31"/>
  <c r="K23" i="31" s="1"/>
  <c r="H31" i="31"/>
  <c r="K31" i="31" s="1"/>
  <c r="H39" i="31"/>
  <c r="K39" i="31" s="1"/>
  <c r="H47" i="31"/>
  <c r="H55" i="31"/>
  <c r="K55" i="31" s="1"/>
  <c r="H42" i="31"/>
  <c r="H8" i="31"/>
  <c r="H16" i="31"/>
  <c r="H24" i="31"/>
  <c r="H32" i="31"/>
  <c r="H40" i="31"/>
  <c r="H48" i="31"/>
  <c r="K48" i="31" s="1"/>
  <c r="H56" i="31"/>
  <c r="K56" i="31" s="1"/>
  <c r="H9" i="31"/>
  <c r="H17" i="31"/>
  <c r="H25" i="31"/>
  <c r="H33" i="31"/>
  <c r="H41" i="31"/>
  <c r="H49" i="31"/>
  <c r="H57" i="31"/>
  <c r="K57" i="31" s="1"/>
  <c r="H26" i="31"/>
  <c r="K26" i="31" s="1"/>
  <c r="H11" i="31"/>
  <c r="H19" i="31"/>
  <c r="H27" i="31"/>
  <c r="H35" i="31"/>
  <c r="H43" i="31"/>
  <c r="K43" i="31" s="1"/>
  <c r="H51" i="31"/>
  <c r="H59" i="31"/>
  <c r="K59" i="31" s="1"/>
  <c r="H50" i="31"/>
  <c r="K50" i="31" s="1"/>
  <c r="H12" i="31"/>
  <c r="H20" i="31"/>
  <c r="H28" i="31"/>
  <c r="H36" i="31"/>
  <c r="H44" i="31"/>
  <c r="H52" i="31"/>
  <c r="H60" i="31"/>
  <c r="N6" i="31" s="1"/>
  <c r="R6" i="31" s="1"/>
  <c r="H18" i="31"/>
  <c r="K18" i="31" s="1"/>
  <c r="K10" i="31"/>
  <c r="K42" i="31"/>
  <c r="G6" i="31"/>
  <c r="G14" i="31"/>
  <c r="G22" i="31"/>
  <c r="G30" i="31"/>
  <c r="G38" i="31"/>
  <c r="G46" i="31"/>
  <c r="G54" i="31"/>
  <c r="G11" i="31"/>
  <c r="K11" i="31"/>
  <c r="K19" i="31"/>
  <c r="K27" i="31"/>
  <c r="K35" i="31"/>
  <c r="K51" i="31"/>
  <c r="G7" i="31"/>
  <c r="G15" i="31"/>
  <c r="G23" i="31"/>
  <c r="G31" i="31"/>
  <c r="G39" i="31"/>
  <c r="G47" i="31"/>
  <c r="G55" i="31"/>
  <c r="G59" i="31"/>
  <c r="K12" i="31"/>
  <c r="K20" i="31"/>
  <c r="K28" i="31"/>
  <c r="K36" i="31"/>
  <c r="K44" i="31"/>
  <c r="K52" i="31"/>
  <c r="G8" i="31"/>
  <c r="G16" i="31"/>
  <c r="G24" i="31"/>
  <c r="G32" i="31"/>
  <c r="G40" i="31"/>
  <c r="G48" i="31"/>
  <c r="G56" i="31"/>
  <c r="G43" i="31"/>
  <c r="K13" i="31"/>
  <c r="K21" i="31"/>
  <c r="K29" i="31"/>
  <c r="K37" i="31"/>
  <c r="K45" i="31"/>
  <c r="K53" i="31"/>
  <c r="G9" i="31"/>
  <c r="G17" i="31"/>
  <c r="G25" i="31"/>
  <c r="G33" i="31"/>
  <c r="G41" i="31"/>
  <c r="G49" i="31"/>
  <c r="G57" i="31"/>
  <c r="K7" i="31"/>
  <c r="G51" i="31"/>
  <c r="K14" i="31"/>
  <c r="K22" i="31"/>
  <c r="K30" i="31"/>
  <c r="K38" i="31"/>
  <c r="K46" i="31"/>
  <c r="K54" i="31"/>
  <c r="G10" i="31"/>
  <c r="G18" i="31"/>
  <c r="G26" i="31"/>
  <c r="G34" i="31"/>
  <c r="G42" i="31"/>
  <c r="G50" i="31"/>
  <c r="G58" i="31"/>
  <c r="K15" i="31"/>
  <c r="K47" i="31"/>
  <c r="G35" i="31"/>
  <c r="K8" i="31"/>
  <c r="K16" i="31"/>
  <c r="K24" i="31"/>
  <c r="K32" i="31"/>
  <c r="K40" i="31"/>
  <c r="G12" i="31"/>
  <c r="G20" i="31"/>
  <c r="G28" i="31"/>
  <c r="G36" i="31"/>
  <c r="G44" i="31"/>
  <c r="G52" i="31"/>
  <c r="G60" i="31"/>
  <c r="G27" i="31"/>
  <c r="K9" i="31"/>
  <c r="K17" i="31"/>
  <c r="K25" i="31"/>
  <c r="K33" i="31"/>
  <c r="K41" i="31"/>
  <c r="K49" i="31"/>
  <c r="G13" i="31"/>
  <c r="G21" i="31"/>
  <c r="G29" i="31"/>
  <c r="G37" i="31"/>
  <c r="G45" i="31"/>
  <c r="G53" i="31"/>
  <c r="G19" i="31"/>
  <c r="F45" i="32"/>
  <c r="F33" i="32"/>
  <c r="F55" i="32"/>
  <c r="F47" i="32"/>
  <c r="F39" i="32"/>
  <c r="F31" i="32"/>
  <c r="F23" i="32"/>
  <c r="F15" i="32"/>
  <c r="F7" i="32"/>
  <c r="F13" i="32"/>
  <c r="F41" i="32"/>
  <c r="F54" i="32"/>
  <c r="F46" i="32"/>
  <c r="F38" i="32"/>
  <c r="F30" i="32"/>
  <c r="F22" i="32"/>
  <c r="F14" i="32"/>
  <c r="F6" i="32"/>
  <c r="F5" i="32"/>
  <c r="F60" i="32"/>
  <c r="F52" i="32"/>
  <c r="F44" i="32"/>
  <c r="F36" i="32"/>
  <c r="F28" i="32"/>
  <c r="F20" i="32"/>
  <c r="F12" i="32"/>
  <c r="F4" i="32"/>
  <c r="F37" i="32"/>
  <c r="F59" i="32"/>
  <c r="F51" i="32"/>
  <c r="F43" i="32"/>
  <c r="F35" i="32"/>
  <c r="F27" i="32"/>
  <c r="F19" i="32"/>
  <c r="F11" i="32"/>
  <c r="F3" i="32"/>
  <c r="F53" i="32"/>
  <c r="F58" i="32"/>
  <c r="F50" i="32"/>
  <c r="F42" i="32"/>
  <c r="F34" i="32"/>
  <c r="F26" i="32"/>
  <c r="F18" i="32"/>
  <c r="F10" i="32"/>
  <c r="F29" i="32"/>
  <c r="F57" i="32"/>
  <c r="F49" i="32"/>
  <c r="F25" i="32"/>
  <c r="F17" i="32"/>
  <c r="F9" i="32"/>
  <c r="I9" i="32" s="1"/>
  <c r="F21" i="32"/>
  <c r="F56" i="32"/>
  <c r="F48" i="32"/>
  <c r="F40" i="32"/>
  <c r="F32" i="32"/>
  <c r="F24" i="32"/>
  <c r="F16" i="32"/>
  <c r="D5" i="33" l="1"/>
  <c r="E5" i="33" s="1"/>
  <c r="F5" i="33" s="1"/>
  <c r="I5" i="33" s="1"/>
  <c r="D3" i="34"/>
  <c r="C4" i="34" s="1"/>
  <c r="I4" i="33"/>
  <c r="Q6" i="31"/>
  <c r="E3" i="38" s="1"/>
  <c r="P6" i="31"/>
  <c r="D3" i="38" s="1"/>
  <c r="K60" i="31"/>
  <c r="D6" i="33"/>
  <c r="E6" i="33" s="1"/>
  <c r="J11" i="31"/>
  <c r="J19" i="31"/>
  <c r="J27" i="31"/>
  <c r="J35" i="31"/>
  <c r="J43" i="31"/>
  <c r="J51" i="31"/>
  <c r="J59" i="31"/>
  <c r="J16" i="31"/>
  <c r="J56" i="31"/>
  <c r="J12" i="31"/>
  <c r="J20" i="31"/>
  <c r="J28" i="31"/>
  <c r="J36" i="31"/>
  <c r="J44" i="31"/>
  <c r="J52" i="31"/>
  <c r="J60" i="31"/>
  <c r="O6" i="31" s="1"/>
  <c r="J48" i="31"/>
  <c r="J13" i="31"/>
  <c r="J21" i="31"/>
  <c r="J29" i="31"/>
  <c r="J37" i="31"/>
  <c r="J45" i="31"/>
  <c r="J53" i="31"/>
  <c r="J40" i="31"/>
  <c r="J6" i="31"/>
  <c r="J14" i="31"/>
  <c r="J22" i="31"/>
  <c r="J30" i="31"/>
  <c r="J38" i="31"/>
  <c r="J46" i="31"/>
  <c r="J54" i="31"/>
  <c r="J7" i="31"/>
  <c r="J15" i="31"/>
  <c r="J23" i="31"/>
  <c r="J31" i="31"/>
  <c r="J39" i="31"/>
  <c r="J47" i="31"/>
  <c r="J55" i="31"/>
  <c r="J32" i="31"/>
  <c r="J9" i="31"/>
  <c r="J17" i="31"/>
  <c r="J25" i="31"/>
  <c r="J33" i="31"/>
  <c r="J41" i="31"/>
  <c r="J49" i="31"/>
  <c r="J57" i="31"/>
  <c r="J24" i="31"/>
  <c r="J10" i="31"/>
  <c r="J18" i="31"/>
  <c r="J26" i="31"/>
  <c r="J34" i="31"/>
  <c r="J42" i="31"/>
  <c r="J50" i="31"/>
  <c r="J58" i="31"/>
  <c r="J8" i="31"/>
  <c r="I34" i="32"/>
  <c r="I20" i="32"/>
  <c r="I7" i="32"/>
  <c r="I23" i="32"/>
  <c r="I58" i="32"/>
  <c r="I44" i="32"/>
  <c r="I56" i="32"/>
  <c r="I53" i="32"/>
  <c r="I59" i="32"/>
  <c r="I52" i="32"/>
  <c r="I39" i="32"/>
  <c r="I36" i="32"/>
  <c r="I29" i="32"/>
  <c r="I10" i="32"/>
  <c r="I37" i="32"/>
  <c r="I4" i="32"/>
  <c r="I5" i="32"/>
  <c r="I55" i="32"/>
  <c r="I35" i="32"/>
  <c r="I15" i="32"/>
  <c r="I57" i="32"/>
  <c r="I17" i="32"/>
  <c r="I13" i="32"/>
  <c r="I33" i="32"/>
  <c r="G51" i="32"/>
  <c r="I51" i="32" s="1"/>
  <c r="G30" i="32"/>
  <c r="I30" i="32" s="1"/>
  <c r="G52" i="32"/>
  <c r="G54" i="32"/>
  <c r="I54" i="32" s="1"/>
  <c r="G60" i="32"/>
  <c r="I60" i="32" s="1"/>
  <c r="G38" i="32"/>
  <c r="I38" i="32" s="1"/>
  <c r="G55" i="32"/>
  <c r="G48" i="32"/>
  <c r="I48" i="32" s="1"/>
  <c r="G41" i="32"/>
  <c r="I41" i="32" s="1"/>
  <c r="G37" i="32"/>
  <c r="G32" i="32"/>
  <c r="I32" i="32" s="1"/>
  <c r="G10" i="32"/>
  <c r="G19" i="32"/>
  <c r="I19" i="32" s="1"/>
  <c r="G12" i="32"/>
  <c r="I12" i="32" s="1"/>
  <c r="G5" i="32"/>
  <c r="G6" i="32"/>
  <c r="I6" i="32" s="1"/>
  <c r="G42" i="32"/>
  <c r="I42" i="32" s="1"/>
  <c r="G56" i="32"/>
  <c r="G44" i="32"/>
  <c r="G59" i="32"/>
  <c r="G40" i="32"/>
  <c r="I40" i="32" s="1"/>
  <c r="G17" i="32"/>
  <c r="G18" i="32"/>
  <c r="I18" i="32" s="1"/>
  <c r="G27" i="32"/>
  <c r="I27" i="32" s="1"/>
  <c r="G20" i="32"/>
  <c r="G13" i="32"/>
  <c r="G7" i="32"/>
  <c r="G14" i="32"/>
  <c r="I14" i="32" s="1"/>
  <c r="G34" i="32"/>
  <c r="G58" i="32"/>
  <c r="G24" i="32"/>
  <c r="I24" i="32" s="1"/>
  <c r="G49" i="32"/>
  <c r="I49" i="32" s="1"/>
  <c r="G45" i="32"/>
  <c r="I45" i="32" s="1"/>
  <c r="H61" i="32"/>
  <c r="D67" i="32" s="1"/>
  <c r="D68" i="32" s="1"/>
  <c r="G53" i="32"/>
  <c r="G11" i="32"/>
  <c r="I11" i="32" s="1"/>
  <c r="G25" i="32"/>
  <c r="I25" i="32" s="1"/>
  <c r="G26" i="32"/>
  <c r="I26" i="32" s="1"/>
  <c r="G35" i="32"/>
  <c r="G28" i="32"/>
  <c r="I28" i="32" s="1"/>
  <c r="G21" i="32"/>
  <c r="I21" i="32" s="1"/>
  <c r="G15" i="32"/>
  <c r="G8" i="32"/>
  <c r="I8" i="32" s="1"/>
  <c r="G46" i="32"/>
  <c r="I46" i="32" s="1"/>
  <c r="G31" i="32"/>
  <c r="I31" i="32" s="1"/>
  <c r="G39" i="32"/>
  <c r="G57" i="32"/>
  <c r="G47" i="32"/>
  <c r="I47" i="32" s="1"/>
  <c r="G22" i="32"/>
  <c r="I22" i="32" s="1"/>
  <c r="G33" i="32"/>
  <c r="G50" i="32"/>
  <c r="I50" i="32" s="1"/>
  <c r="G43" i="32"/>
  <c r="I43" i="32" s="1"/>
  <c r="G36" i="32"/>
  <c r="G29" i="32"/>
  <c r="G23" i="32"/>
  <c r="G16" i="32"/>
  <c r="I16" i="32" s="1"/>
  <c r="G5" i="33" l="1"/>
  <c r="H5" i="33"/>
  <c r="D4" i="34"/>
  <c r="C5" i="34" s="1"/>
  <c r="E4" i="34"/>
  <c r="F4" i="34" s="1"/>
  <c r="G4" i="34" s="1"/>
  <c r="G6" i="33"/>
  <c r="D7" i="33"/>
  <c r="E7" i="33" s="1"/>
  <c r="J4" i="34" l="1"/>
  <c r="D5" i="34"/>
  <c r="C6" i="34" s="1"/>
  <c r="E5" i="34"/>
  <c r="F5" i="34" s="1"/>
  <c r="G5" i="34" s="1"/>
  <c r="J5" i="34" s="1"/>
  <c r="G7" i="33"/>
  <c r="K5" i="33"/>
  <c r="D8" i="33"/>
  <c r="E8" i="33" s="1"/>
  <c r="I4" i="34" l="1"/>
  <c r="L4" i="34" s="1"/>
  <c r="H4" i="34"/>
  <c r="H5" i="34"/>
  <c r="D6" i="34"/>
  <c r="E7" i="34" s="1"/>
  <c r="F7" i="34" s="1"/>
  <c r="G7" i="34" s="1"/>
  <c r="K5" i="34"/>
  <c r="K4" i="34"/>
  <c r="E6" i="34"/>
  <c r="F6" i="34" s="1"/>
  <c r="I5" i="34"/>
  <c r="L5" i="34" s="1"/>
  <c r="G8" i="33"/>
  <c r="D9" i="33"/>
  <c r="E9" i="33" s="1"/>
  <c r="F6" i="33"/>
  <c r="I6" i="33" s="1"/>
  <c r="J5" i="33"/>
  <c r="J4" i="33"/>
  <c r="G6" i="34" l="1"/>
  <c r="H7" i="34" s="1"/>
  <c r="J7" i="34"/>
  <c r="C7" i="34"/>
  <c r="G9" i="33"/>
  <c r="H6" i="33"/>
  <c r="K6" i="33" s="1"/>
  <c r="D10" i="33"/>
  <c r="E10" i="33" s="1"/>
  <c r="F7" i="33"/>
  <c r="I7" i="33" s="1"/>
  <c r="H6" i="34" l="1"/>
  <c r="J6" i="34"/>
  <c r="K6" i="34" s="1"/>
  <c r="I6" i="34"/>
  <c r="L6" i="34" s="1"/>
  <c r="I7" i="34"/>
  <c r="L7" i="34" s="1"/>
  <c r="D7" i="34"/>
  <c r="C8" i="34" s="1"/>
  <c r="G10" i="33"/>
  <c r="H7" i="33"/>
  <c r="K7" i="33" s="1"/>
  <c r="D11" i="33"/>
  <c r="E11" i="33" s="1"/>
  <c r="F8" i="33"/>
  <c r="I8" i="33" s="1"/>
  <c r="J7" i="33"/>
  <c r="J6" i="33"/>
  <c r="K7" i="34" l="1"/>
  <c r="E8" i="34"/>
  <c r="F8" i="34" s="1"/>
  <c r="D8" i="34"/>
  <c r="C9" i="34" s="1"/>
  <c r="G11" i="33"/>
  <c r="H8" i="33"/>
  <c r="K8" i="33" s="1"/>
  <c r="D12" i="33"/>
  <c r="E12" i="33" s="1"/>
  <c r="G12" i="33" s="1"/>
  <c r="F9" i="33"/>
  <c r="I9" i="33" s="1"/>
  <c r="G8" i="34" l="1"/>
  <c r="I8" i="34" s="1"/>
  <c r="L8" i="34" s="1"/>
  <c r="D9" i="34"/>
  <c r="E10" i="34" s="1"/>
  <c r="F10" i="34" s="1"/>
  <c r="G10" i="34" s="1"/>
  <c r="J10" i="34" s="1"/>
  <c r="E9" i="34"/>
  <c r="F9" i="34" s="1"/>
  <c r="G9" i="34" s="1"/>
  <c r="H9" i="33"/>
  <c r="K9" i="33" s="1"/>
  <c r="D13" i="33"/>
  <c r="E13" i="33" s="1"/>
  <c r="G13" i="33" s="1"/>
  <c r="J8" i="33"/>
  <c r="J9" i="33"/>
  <c r="H8" i="34" l="1"/>
  <c r="J8" i="34"/>
  <c r="C10" i="34"/>
  <c r="D10" i="34" s="1"/>
  <c r="C11" i="34" s="1"/>
  <c r="J9" i="34"/>
  <c r="H9" i="34"/>
  <c r="I9" i="34"/>
  <c r="L9" i="34" s="1"/>
  <c r="I10" i="34"/>
  <c r="L10" i="34" s="1"/>
  <c r="H10" i="34"/>
  <c r="D14" i="33"/>
  <c r="E14" i="33" s="1"/>
  <c r="G14" i="33" s="1"/>
  <c r="F10" i="33"/>
  <c r="I10" i="33" s="1"/>
  <c r="F11" i="33"/>
  <c r="I11" i="33" s="1"/>
  <c r="K8" i="34" l="1"/>
  <c r="D11" i="34"/>
  <c r="E12" i="34" s="1"/>
  <c r="F12" i="34" s="1"/>
  <c r="G12" i="34" s="1"/>
  <c r="E11" i="34"/>
  <c r="F11" i="34" s="1"/>
  <c r="K9" i="34"/>
  <c r="K10" i="34"/>
  <c r="H10" i="33"/>
  <c r="K10" i="33" s="1"/>
  <c r="H11" i="33"/>
  <c r="K11" i="33" s="1"/>
  <c r="D15" i="33"/>
  <c r="E15" i="33" s="1"/>
  <c r="G15" i="33" s="1"/>
  <c r="J10" i="33"/>
  <c r="F12" i="33"/>
  <c r="I12" i="33" s="1"/>
  <c r="G11" i="34" l="1"/>
  <c r="I12" i="34" s="1"/>
  <c r="L12" i="34" s="1"/>
  <c r="J12" i="34"/>
  <c r="C12" i="34"/>
  <c r="H12" i="33"/>
  <c r="K12" i="33" s="1"/>
  <c r="F15" i="33"/>
  <c r="I15" i="33" s="1"/>
  <c r="D16" i="33"/>
  <c r="E16" i="33" s="1"/>
  <c r="G16" i="33" s="1"/>
  <c r="F13" i="33"/>
  <c r="I13" i="33" s="1"/>
  <c r="J12" i="33"/>
  <c r="J11" i="33"/>
  <c r="H12" i="34" l="1"/>
  <c r="H11" i="34"/>
  <c r="I11" i="34"/>
  <c r="L11" i="34" s="1"/>
  <c r="J11" i="34"/>
  <c r="K11" i="34" s="1"/>
  <c r="D12" i="34"/>
  <c r="C13" i="34" s="1"/>
  <c r="H13" i="33"/>
  <c r="K13" i="33" s="1"/>
  <c r="F16" i="33"/>
  <c r="I16" i="33" s="1"/>
  <c r="D17" i="33"/>
  <c r="E17" i="33" s="1"/>
  <c r="G17" i="33" s="1"/>
  <c r="J13" i="33"/>
  <c r="F14" i="33"/>
  <c r="K12" i="34" l="1"/>
  <c r="D13" i="34"/>
  <c r="C14" i="34" s="1"/>
  <c r="E13" i="34"/>
  <c r="F13" i="34" s="1"/>
  <c r="H14" i="33"/>
  <c r="K14" i="33" s="1"/>
  <c r="I14" i="33"/>
  <c r="H16" i="33"/>
  <c r="K16" i="33" s="1"/>
  <c r="H15" i="33"/>
  <c r="K15" i="33" s="1"/>
  <c r="D18" i="33"/>
  <c r="E18" i="33" s="1"/>
  <c r="G18" i="33" s="1"/>
  <c r="G13" i="34" l="1"/>
  <c r="J13" i="34" s="1"/>
  <c r="D14" i="34"/>
  <c r="E15" i="34" s="1"/>
  <c r="F15" i="34" s="1"/>
  <c r="E14" i="34"/>
  <c r="F14" i="34" s="1"/>
  <c r="G14" i="34" s="1"/>
  <c r="J14" i="34" s="1"/>
  <c r="F17" i="33"/>
  <c r="F18" i="33"/>
  <c r="I18" i="33" s="1"/>
  <c r="D19" i="33"/>
  <c r="E19" i="33" s="1"/>
  <c r="G19" i="33" s="1"/>
  <c r="J16" i="33"/>
  <c r="J14" i="33"/>
  <c r="J15" i="33"/>
  <c r="H13" i="34" l="1"/>
  <c r="C15" i="34"/>
  <c r="D15" i="34" s="1"/>
  <c r="C16" i="34" s="1"/>
  <c r="G15" i="34"/>
  <c r="J15" i="34" s="1"/>
  <c r="K15" i="34" s="1"/>
  <c r="K13" i="34"/>
  <c r="K14" i="34"/>
  <c r="H14" i="34"/>
  <c r="I14" i="34"/>
  <c r="L14" i="34" s="1"/>
  <c r="I13" i="34"/>
  <c r="L13" i="34" s="1"/>
  <c r="H17" i="33"/>
  <c r="K17" i="33" s="1"/>
  <c r="I17" i="33"/>
  <c r="H18" i="33"/>
  <c r="K18" i="33" s="1"/>
  <c r="D20" i="33"/>
  <c r="E20" i="33" s="1"/>
  <c r="G20" i="33" s="1"/>
  <c r="H15" i="34" l="1"/>
  <c r="I15" i="34"/>
  <c r="L15" i="34" s="1"/>
  <c r="E16" i="34"/>
  <c r="F16" i="34" s="1"/>
  <c r="G16" i="34" s="1"/>
  <c r="D16" i="34"/>
  <c r="C17" i="34" s="1"/>
  <c r="F19" i="33"/>
  <c r="F20" i="33"/>
  <c r="I20" i="33" s="1"/>
  <c r="D21" i="33"/>
  <c r="E21" i="33" s="1"/>
  <c r="G21" i="33" s="1"/>
  <c r="J17" i="33"/>
  <c r="J18" i="33"/>
  <c r="E17" i="34" l="1"/>
  <c r="F17" i="34" s="1"/>
  <c r="D17" i="34"/>
  <c r="C18" i="34" s="1"/>
  <c r="D18" i="34" s="1"/>
  <c r="C19" i="34" s="1"/>
  <c r="J16" i="34"/>
  <c r="K16" i="34" s="1"/>
  <c r="H16" i="34"/>
  <c r="I16" i="34"/>
  <c r="L16" i="34" s="1"/>
  <c r="H19" i="33"/>
  <c r="K19" i="33" s="1"/>
  <c r="I19" i="33"/>
  <c r="H20" i="33"/>
  <c r="K20" i="33" s="1"/>
  <c r="D22" i="33"/>
  <c r="E22" i="33" s="1"/>
  <c r="G22" i="33" s="1"/>
  <c r="E18" i="34" l="1"/>
  <c r="F18" i="34" s="1"/>
  <c r="G18" i="34" s="1"/>
  <c r="E19" i="34"/>
  <c r="F19" i="34" s="1"/>
  <c r="G17" i="34"/>
  <c r="D19" i="34"/>
  <c r="C20" i="34" s="1"/>
  <c r="J20" i="33"/>
  <c r="J19" i="33"/>
  <c r="D23" i="33"/>
  <c r="E23" i="33" s="1"/>
  <c r="G23" i="33" s="1"/>
  <c r="F21" i="33"/>
  <c r="E20" i="34" l="1"/>
  <c r="F20" i="34" s="1"/>
  <c r="G20" i="34" s="1"/>
  <c r="J18" i="34"/>
  <c r="I18" i="34"/>
  <c r="L18" i="34" s="1"/>
  <c r="H18" i="34"/>
  <c r="J17" i="34"/>
  <c r="K17" i="34" s="1"/>
  <c r="H17" i="34"/>
  <c r="I17" i="34"/>
  <c r="L17" i="34" s="1"/>
  <c r="G19" i="34"/>
  <c r="D20" i="34"/>
  <c r="C21" i="34" s="1"/>
  <c r="H21" i="33"/>
  <c r="K21" i="33" s="1"/>
  <c r="I21" i="33"/>
  <c r="D24" i="33"/>
  <c r="E24" i="33" s="1"/>
  <c r="G24" i="33" s="1"/>
  <c r="F22" i="33"/>
  <c r="K18" i="34" l="1"/>
  <c r="J19" i="34"/>
  <c r="K19" i="34" s="1"/>
  <c r="I19" i="34"/>
  <c r="L19" i="34" s="1"/>
  <c r="H19" i="34"/>
  <c r="E21" i="34"/>
  <c r="F21" i="34" s="1"/>
  <c r="J20" i="34"/>
  <c r="I20" i="34"/>
  <c r="L20" i="34" s="1"/>
  <c r="H20" i="34"/>
  <c r="D21" i="34"/>
  <c r="C22" i="34" s="1"/>
  <c r="H22" i="33"/>
  <c r="K22" i="33" s="1"/>
  <c r="I22" i="33"/>
  <c r="J22" i="33" s="1"/>
  <c r="F23" i="33"/>
  <c r="J21" i="33"/>
  <c r="F24" i="33"/>
  <c r="I24" i="33" s="1"/>
  <c r="D25" i="33"/>
  <c r="E25" i="33" s="1"/>
  <c r="G25" i="33" s="1"/>
  <c r="K20" i="34" l="1"/>
  <c r="E22" i="34"/>
  <c r="F22" i="34" s="1"/>
  <c r="G22" i="34" s="1"/>
  <c r="G21" i="34"/>
  <c r="D22" i="34"/>
  <c r="C23" i="34" s="1"/>
  <c r="H23" i="33"/>
  <c r="K23" i="33" s="1"/>
  <c r="I23" i="33"/>
  <c r="H24" i="33"/>
  <c r="K24" i="33" s="1"/>
  <c r="D26" i="33"/>
  <c r="E26" i="33" s="1"/>
  <c r="G26" i="33" s="1"/>
  <c r="J21" i="34" l="1"/>
  <c r="K21" i="34" s="1"/>
  <c r="H21" i="34"/>
  <c r="I21" i="34"/>
  <c r="L21" i="34" s="1"/>
  <c r="J22" i="34"/>
  <c r="I22" i="34"/>
  <c r="L22" i="34" s="1"/>
  <c r="H22" i="34"/>
  <c r="E23" i="34"/>
  <c r="F23" i="34" s="1"/>
  <c r="D23" i="34"/>
  <c r="C24" i="34" s="1"/>
  <c r="D27" i="33"/>
  <c r="E27" i="33" s="1"/>
  <c r="G27" i="33" s="1"/>
  <c r="F25" i="33"/>
  <c r="J24" i="33"/>
  <c r="J23" i="33"/>
  <c r="K22" i="34" l="1"/>
  <c r="E24" i="34"/>
  <c r="F24" i="34" s="1"/>
  <c r="G23" i="34"/>
  <c r="D24" i="34"/>
  <c r="C25" i="34" s="1"/>
  <c r="H25" i="33"/>
  <c r="K25" i="33" s="1"/>
  <c r="I25" i="33"/>
  <c r="F26" i="33"/>
  <c r="I26" i="33" s="1"/>
  <c r="F27" i="33"/>
  <c r="I27" i="33" s="1"/>
  <c r="D28" i="33"/>
  <c r="E28" i="33" s="1"/>
  <c r="G28" i="33" s="1"/>
  <c r="E25" i="34" l="1"/>
  <c r="F25" i="34" s="1"/>
  <c r="G25" i="34" s="1"/>
  <c r="J23" i="34"/>
  <c r="K23" i="34" s="1"/>
  <c r="H23" i="34"/>
  <c r="I23" i="34"/>
  <c r="L23" i="34" s="1"/>
  <c r="G24" i="34"/>
  <c r="D25" i="34"/>
  <c r="C26" i="34" s="1"/>
  <c r="H26" i="33"/>
  <c r="K26" i="33" s="1"/>
  <c r="J27" i="33"/>
  <c r="H27" i="33"/>
  <c r="K27" i="33" s="1"/>
  <c r="D29" i="33"/>
  <c r="E29" i="33" s="1"/>
  <c r="G29" i="33" s="1"/>
  <c r="J26" i="33"/>
  <c r="J25" i="33"/>
  <c r="E26" i="34" l="1"/>
  <c r="F26" i="34" s="1"/>
  <c r="J24" i="34"/>
  <c r="K24" i="34" s="1"/>
  <c r="I24" i="34"/>
  <c r="L24" i="34" s="1"/>
  <c r="H24" i="34"/>
  <c r="J25" i="34"/>
  <c r="I25" i="34"/>
  <c r="L25" i="34" s="1"/>
  <c r="H25" i="34"/>
  <c r="D26" i="34"/>
  <c r="E27" i="34" s="1"/>
  <c r="F27" i="34" s="1"/>
  <c r="D30" i="33"/>
  <c r="E30" i="33" s="1"/>
  <c r="G30" i="33" s="1"/>
  <c r="F28" i="33"/>
  <c r="K25" i="34" l="1"/>
  <c r="C27" i="34"/>
  <c r="D27" i="34" s="1"/>
  <c r="E28" i="34" s="1"/>
  <c r="F28" i="34" s="1"/>
  <c r="G27" i="34"/>
  <c r="G26" i="34"/>
  <c r="H28" i="33"/>
  <c r="K28" i="33" s="1"/>
  <c r="I28" i="33"/>
  <c r="F29" i="33"/>
  <c r="I29" i="33" s="1"/>
  <c r="D31" i="33"/>
  <c r="E31" i="33" s="1"/>
  <c r="G31" i="33" s="1"/>
  <c r="G28" i="34" l="1"/>
  <c r="C28" i="34"/>
  <c r="J26" i="34"/>
  <c r="K26" i="34" s="1"/>
  <c r="H26" i="34"/>
  <c r="I26" i="34"/>
  <c r="L26" i="34" s="1"/>
  <c r="J27" i="34"/>
  <c r="I27" i="34"/>
  <c r="L27" i="34" s="1"/>
  <c r="H27" i="34"/>
  <c r="H29" i="33"/>
  <c r="K29" i="33" s="1"/>
  <c r="F30" i="33"/>
  <c r="F31" i="33"/>
  <c r="I31" i="33" s="1"/>
  <c r="D32" i="33"/>
  <c r="E32" i="33" s="1"/>
  <c r="G32" i="33" s="1"/>
  <c r="J28" i="33"/>
  <c r="K27" i="34" l="1"/>
  <c r="D28" i="34"/>
  <c r="C29" i="34" s="1"/>
  <c r="D29" i="34" s="1"/>
  <c r="E30" i="34" s="1"/>
  <c r="F30" i="34" s="1"/>
  <c r="J28" i="34"/>
  <c r="K28" i="34" s="1"/>
  <c r="H28" i="34"/>
  <c r="I28" i="34"/>
  <c r="L28" i="34" s="1"/>
  <c r="H30" i="33"/>
  <c r="K30" i="33" s="1"/>
  <c r="I30" i="33"/>
  <c r="H31" i="33"/>
  <c r="K31" i="33" s="1"/>
  <c r="D33" i="33"/>
  <c r="E33" i="33" s="1"/>
  <c r="G33" i="33" s="1"/>
  <c r="J29" i="33"/>
  <c r="E29" i="34" l="1"/>
  <c r="F29" i="34" s="1"/>
  <c r="G29" i="34" s="1"/>
  <c r="G30" i="34"/>
  <c r="C30" i="34"/>
  <c r="D30" i="34" s="1"/>
  <c r="C31" i="34" s="1"/>
  <c r="J31" i="33"/>
  <c r="F32" i="33"/>
  <c r="D34" i="33"/>
  <c r="E34" i="33" s="1"/>
  <c r="G34" i="33" s="1"/>
  <c r="J30" i="33"/>
  <c r="J29" i="34" l="1"/>
  <c r="K29" i="34" s="1"/>
  <c r="H29" i="34"/>
  <c r="I29" i="34"/>
  <c r="L29" i="34" s="1"/>
  <c r="E31" i="34"/>
  <c r="F31" i="34" s="1"/>
  <c r="J30" i="34"/>
  <c r="H30" i="34"/>
  <c r="I30" i="34"/>
  <c r="L30" i="34" s="1"/>
  <c r="D31" i="34"/>
  <c r="E32" i="34" s="1"/>
  <c r="F32" i="34" s="1"/>
  <c r="H32" i="33"/>
  <c r="K32" i="33" s="1"/>
  <c r="I32" i="33"/>
  <c r="J32" i="33" s="1"/>
  <c r="D35" i="33"/>
  <c r="E35" i="33" s="1"/>
  <c r="G35" i="33" s="1"/>
  <c r="F33" i="33"/>
  <c r="K30" i="34" l="1"/>
  <c r="G32" i="34"/>
  <c r="G31" i="34"/>
  <c r="C32" i="34"/>
  <c r="D32" i="34" s="1"/>
  <c r="H33" i="33"/>
  <c r="K33" i="33" s="1"/>
  <c r="I33" i="33"/>
  <c r="J33" i="33" s="1"/>
  <c r="D36" i="33"/>
  <c r="E36" i="33" s="1"/>
  <c r="G36" i="33" s="1"/>
  <c r="F34" i="33"/>
  <c r="J32" i="34" l="1"/>
  <c r="I32" i="34"/>
  <c r="L32" i="34" s="1"/>
  <c r="H32" i="34"/>
  <c r="C33" i="34"/>
  <c r="D33" i="34" s="1"/>
  <c r="C34" i="34" s="1"/>
  <c r="E33" i="34"/>
  <c r="F33" i="34" s="1"/>
  <c r="J31" i="34"/>
  <c r="K31" i="34" s="1"/>
  <c r="I31" i="34"/>
  <c r="L31" i="34" s="1"/>
  <c r="H31" i="34"/>
  <c r="H34" i="33"/>
  <c r="K34" i="33" s="1"/>
  <c r="I34" i="33"/>
  <c r="J34" i="33" s="1"/>
  <c r="D37" i="33"/>
  <c r="E37" i="33" s="1"/>
  <c r="G37" i="33" s="1"/>
  <c r="F35" i="33"/>
  <c r="I35" i="33" s="1"/>
  <c r="K32" i="34" l="1"/>
  <c r="G33" i="34"/>
  <c r="E34" i="34"/>
  <c r="F34" i="34" s="1"/>
  <c r="D34" i="34"/>
  <c r="C35" i="34" s="1"/>
  <c r="J35" i="33"/>
  <c r="H35" i="33"/>
  <c r="K35" i="33" s="1"/>
  <c r="D38" i="33"/>
  <c r="E38" i="33" s="1"/>
  <c r="G38" i="33" s="1"/>
  <c r="F36" i="33"/>
  <c r="E35" i="34" l="1"/>
  <c r="F35" i="34" s="1"/>
  <c r="G34" i="34"/>
  <c r="J33" i="34"/>
  <c r="K33" i="34" s="1"/>
  <c r="H33" i="34"/>
  <c r="I33" i="34"/>
  <c r="L33" i="34" s="1"/>
  <c r="D35" i="34"/>
  <c r="C36" i="34" s="1"/>
  <c r="H36" i="33"/>
  <c r="K36" i="33" s="1"/>
  <c r="I36" i="33"/>
  <c r="J36" i="33" s="1"/>
  <c r="D39" i="33"/>
  <c r="E39" i="33" s="1"/>
  <c r="G39" i="33" s="1"/>
  <c r="F37" i="33"/>
  <c r="I37" i="33" s="1"/>
  <c r="G35" i="34" l="1"/>
  <c r="E36" i="34"/>
  <c r="F36" i="34" s="1"/>
  <c r="J34" i="34"/>
  <c r="K34" i="34" s="1"/>
  <c r="I34" i="34"/>
  <c r="L34" i="34" s="1"/>
  <c r="H34" i="34"/>
  <c r="D36" i="34"/>
  <c r="C37" i="34" s="1"/>
  <c r="J37" i="33"/>
  <c r="H37" i="33"/>
  <c r="K37" i="33" s="1"/>
  <c r="F38" i="33"/>
  <c r="I38" i="33" s="1"/>
  <c r="F39" i="33"/>
  <c r="I39" i="33" s="1"/>
  <c r="D40" i="33"/>
  <c r="E40" i="33" s="1"/>
  <c r="G40" i="33" s="1"/>
  <c r="E37" i="34" l="1"/>
  <c r="F37" i="34" s="1"/>
  <c r="G36" i="34"/>
  <c r="J35" i="34"/>
  <c r="K35" i="34" s="1"/>
  <c r="I35" i="34"/>
  <c r="L35" i="34" s="1"/>
  <c r="H35" i="34"/>
  <c r="D37" i="34"/>
  <c r="E38" i="34" s="1"/>
  <c r="F38" i="34" s="1"/>
  <c r="H38" i="33"/>
  <c r="K38" i="33" s="1"/>
  <c r="H39" i="33"/>
  <c r="K39" i="33" s="1"/>
  <c r="D41" i="33"/>
  <c r="E41" i="33" s="1"/>
  <c r="G41" i="33" s="1"/>
  <c r="J38" i="33"/>
  <c r="G38" i="34" l="1"/>
  <c r="C38" i="34"/>
  <c r="D38" i="34" s="1"/>
  <c r="C39" i="34" s="1"/>
  <c r="J36" i="34"/>
  <c r="K36" i="34" s="1"/>
  <c r="I36" i="34"/>
  <c r="L36" i="34" s="1"/>
  <c r="H36" i="34"/>
  <c r="G37" i="34"/>
  <c r="J39" i="33"/>
  <c r="F40" i="33"/>
  <c r="D42" i="33"/>
  <c r="E42" i="33" s="1"/>
  <c r="G42" i="33" s="1"/>
  <c r="J38" i="34" l="1"/>
  <c r="H38" i="34"/>
  <c r="I38" i="34"/>
  <c r="L38" i="34" s="1"/>
  <c r="J37" i="34"/>
  <c r="K37" i="34" s="1"/>
  <c r="H37" i="34"/>
  <c r="I37" i="34"/>
  <c r="L37" i="34" s="1"/>
  <c r="E39" i="34"/>
  <c r="F39" i="34" s="1"/>
  <c r="D39" i="34"/>
  <c r="C40" i="34" s="1"/>
  <c r="H40" i="33"/>
  <c r="K40" i="33" s="1"/>
  <c r="I40" i="33"/>
  <c r="J40" i="33" s="1"/>
  <c r="F41" i="33"/>
  <c r="I41" i="33" s="1"/>
  <c r="D43" i="33"/>
  <c r="E43" i="33" s="1"/>
  <c r="G43" i="33" s="1"/>
  <c r="G39" i="34" l="1"/>
  <c r="E40" i="34"/>
  <c r="F40" i="34" s="1"/>
  <c r="K38" i="34"/>
  <c r="D40" i="34"/>
  <c r="E41" i="34" s="1"/>
  <c r="F41" i="34" s="1"/>
  <c r="H41" i="33"/>
  <c r="K41" i="33" s="1"/>
  <c r="F42" i="33"/>
  <c r="D44" i="33"/>
  <c r="E44" i="33" s="1"/>
  <c r="G44" i="33" s="1"/>
  <c r="J41" i="33"/>
  <c r="G41" i="34" l="1"/>
  <c r="C41" i="34"/>
  <c r="G40" i="34"/>
  <c r="J39" i="34"/>
  <c r="K39" i="34" s="1"/>
  <c r="H39" i="34"/>
  <c r="I39" i="34"/>
  <c r="L39" i="34" s="1"/>
  <c r="H42" i="33"/>
  <c r="K42" i="33" s="1"/>
  <c r="I42" i="33"/>
  <c r="J42" i="33" s="1"/>
  <c r="F43" i="33"/>
  <c r="I43" i="33" s="1"/>
  <c r="D45" i="33"/>
  <c r="E45" i="33" s="1"/>
  <c r="G45" i="33" s="1"/>
  <c r="J41" i="34" l="1"/>
  <c r="I41" i="34"/>
  <c r="L41" i="34" s="1"/>
  <c r="H41" i="34"/>
  <c r="J40" i="34"/>
  <c r="K40" i="34" s="1"/>
  <c r="I40" i="34"/>
  <c r="L40" i="34" s="1"/>
  <c r="H40" i="34"/>
  <c r="D41" i="34"/>
  <c r="C42" i="34" s="1"/>
  <c r="H43" i="33"/>
  <c r="K43" i="33" s="1"/>
  <c r="F44" i="33"/>
  <c r="D46" i="33"/>
  <c r="E46" i="33" s="1"/>
  <c r="G46" i="33" s="1"/>
  <c r="J43" i="33"/>
  <c r="K41" i="34" l="1"/>
  <c r="E42" i="34"/>
  <c r="F42" i="34" s="1"/>
  <c r="D42" i="34"/>
  <c r="C43" i="34" s="1"/>
  <c r="D43" i="34" s="1"/>
  <c r="C44" i="34" s="1"/>
  <c r="H44" i="33"/>
  <c r="K44" i="33" s="1"/>
  <c r="I44" i="33"/>
  <c r="J44" i="33" s="1"/>
  <c r="F45" i="33"/>
  <c r="I45" i="33" s="1"/>
  <c r="D47" i="33"/>
  <c r="E47" i="33" s="1"/>
  <c r="G47" i="33" s="1"/>
  <c r="E44" i="34" l="1"/>
  <c r="F44" i="34" s="1"/>
  <c r="E43" i="34"/>
  <c r="F43" i="34" s="1"/>
  <c r="G42" i="34"/>
  <c r="D44" i="34"/>
  <c r="C45" i="34" s="1"/>
  <c r="H45" i="33"/>
  <c r="K45" i="33" s="1"/>
  <c r="F46" i="33"/>
  <c r="D48" i="33"/>
  <c r="E48" i="33" s="1"/>
  <c r="G48" i="33" s="1"/>
  <c r="J45" i="33"/>
  <c r="J42" i="34" l="1"/>
  <c r="K42" i="34" s="1"/>
  <c r="H42" i="34"/>
  <c r="I42" i="34"/>
  <c r="L42" i="34" s="1"/>
  <c r="G43" i="34"/>
  <c r="G44" i="34"/>
  <c r="E45" i="34"/>
  <c r="F45" i="34" s="1"/>
  <c r="D45" i="34"/>
  <c r="C46" i="34" s="1"/>
  <c r="H46" i="33"/>
  <c r="K46" i="33" s="1"/>
  <c r="I46" i="33"/>
  <c r="J46" i="33" s="1"/>
  <c r="F47" i="33"/>
  <c r="D49" i="33"/>
  <c r="E49" i="33" s="1"/>
  <c r="G49" i="33" s="1"/>
  <c r="J43" i="34" l="1"/>
  <c r="K43" i="34" s="1"/>
  <c r="H43" i="34"/>
  <c r="I43" i="34"/>
  <c r="L43" i="34" s="1"/>
  <c r="J44" i="34"/>
  <c r="I44" i="34"/>
  <c r="L44" i="34" s="1"/>
  <c r="H44" i="34"/>
  <c r="E46" i="34"/>
  <c r="F46" i="34" s="1"/>
  <c r="G45" i="34"/>
  <c r="D46" i="34"/>
  <c r="C47" i="34" s="1"/>
  <c r="H47" i="33"/>
  <c r="K47" i="33" s="1"/>
  <c r="I47" i="33"/>
  <c r="J47" i="33" s="1"/>
  <c r="F48" i="33"/>
  <c r="F49" i="33"/>
  <c r="I49" i="33" s="1"/>
  <c r="D50" i="33"/>
  <c r="E50" i="33" s="1"/>
  <c r="G50" i="33" s="1"/>
  <c r="E47" i="34" l="1"/>
  <c r="F47" i="34" s="1"/>
  <c r="G47" i="34" s="1"/>
  <c r="K44" i="34"/>
  <c r="G46" i="34"/>
  <c r="J45" i="34"/>
  <c r="K45" i="34" s="1"/>
  <c r="H45" i="34"/>
  <c r="I45" i="34"/>
  <c r="L45" i="34" s="1"/>
  <c r="D47" i="34"/>
  <c r="C48" i="34" s="1"/>
  <c r="H48" i="33"/>
  <c r="K48" i="33" s="1"/>
  <c r="I48" i="33"/>
  <c r="J48" i="33" s="1"/>
  <c r="H49" i="33"/>
  <c r="K49" i="33" s="1"/>
  <c r="D51" i="33"/>
  <c r="E51" i="33" s="1"/>
  <c r="G51" i="33" s="1"/>
  <c r="E48" i="34" l="1"/>
  <c r="F48" i="34" s="1"/>
  <c r="G48" i="34" s="1"/>
  <c r="J46" i="34"/>
  <c r="K46" i="34" s="1"/>
  <c r="I46" i="34"/>
  <c r="L46" i="34" s="1"/>
  <c r="H46" i="34"/>
  <c r="J47" i="34"/>
  <c r="I47" i="34"/>
  <c r="L47" i="34" s="1"/>
  <c r="H47" i="34"/>
  <c r="D48" i="34"/>
  <c r="C49" i="34" s="1"/>
  <c r="J49" i="33"/>
  <c r="D52" i="33"/>
  <c r="E52" i="33" s="1"/>
  <c r="G52" i="33" s="1"/>
  <c r="F50" i="33"/>
  <c r="K47" i="34" l="1"/>
  <c r="E49" i="34"/>
  <c r="F49" i="34" s="1"/>
  <c r="G49" i="34" s="1"/>
  <c r="J48" i="34"/>
  <c r="K48" i="34" s="1"/>
  <c r="H48" i="34"/>
  <c r="I48" i="34"/>
  <c r="L48" i="34" s="1"/>
  <c r="D49" i="34"/>
  <c r="E50" i="34" s="1"/>
  <c r="F50" i="34" s="1"/>
  <c r="H50" i="33"/>
  <c r="K50" i="33" s="1"/>
  <c r="I50" i="33"/>
  <c r="J50" i="33" s="1"/>
  <c r="F51" i="33"/>
  <c r="I51" i="33" s="1"/>
  <c r="F52" i="33"/>
  <c r="I52" i="33" s="1"/>
  <c r="D53" i="33"/>
  <c r="E53" i="33" s="1"/>
  <c r="G53" i="33" s="1"/>
  <c r="G50" i="34" l="1"/>
  <c r="J49" i="34"/>
  <c r="K49" i="34" s="1"/>
  <c r="I49" i="34"/>
  <c r="L49" i="34" s="1"/>
  <c r="H49" i="34"/>
  <c r="C50" i="34"/>
  <c r="D50" i="34" s="1"/>
  <c r="C51" i="34" s="1"/>
  <c r="H51" i="33"/>
  <c r="K51" i="33" s="1"/>
  <c r="H52" i="33"/>
  <c r="K52" i="33" s="1"/>
  <c r="J51" i="33"/>
  <c r="D54" i="33"/>
  <c r="E54" i="33" s="1"/>
  <c r="G54" i="33" s="1"/>
  <c r="J52" i="33"/>
  <c r="E51" i="34" l="1"/>
  <c r="F51" i="34" s="1"/>
  <c r="J50" i="34"/>
  <c r="K50" i="34" s="1"/>
  <c r="I50" i="34"/>
  <c r="L50" i="34" s="1"/>
  <c r="H50" i="34"/>
  <c r="D51" i="34"/>
  <c r="C52" i="34" s="1"/>
  <c r="F53" i="33"/>
  <c r="D55" i="33"/>
  <c r="E55" i="33" s="1"/>
  <c r="G55" i="33" s="1"/>
  <c r="G51" i="34" l="1"/>
  <c r="E52" i="34"/>
  <c r="F52" i="34" s="1"/>
  <c r="D52" i="34"/>
  <c r="E53" i="34" s="1"/>
  <c r="F53" i="34" s="1"/>
  <c r="H53" i="33"/>
  <c r="K53" i="33" s="1"/>
  <c r="I53" i="33"/>
  <c r="J53" i="33" s="1"/>
  <c r="F54" i="33"/>
  <c r="I54" i="33" s="1"/>
  <c r="F55" i="33"/>
  <c r="I55" i="33" s="1"/>
  <c r="D56" i="33"/>
  <c r="E56" i="33" s="1"/>
  <c r="G56" i="33" s="1"/>
  <c r="G53" i="34" l="1"/>
  <c r="C53" i="34"/>
  <c r="D53" i="34" s="1"/>
  <c r="J51" i="34"/>
  <c r="K51" i="34" s="1"/>
  <c r="I51" i="34"/>
  <c r="L51" i="34" s="1"/>
  <c r="H51" i="34"/>
  <c r="G52" i="34"/>
  <c r="H55" i="33"/>
  <c r="K55" i="33" s="1"/>
  <c r="J54" i="33"/>
  <c r="H54" i="33"/>
  <c r="K54" i="33" s="1"/>
  <c r="D57" i="33"/>
  <c r="E57" i="33" s="1"/>
  <c r="G57" i="33" s="1"/>
  <c r="J52" i="34" l="1"/>
  <c r="K52" i="34" s="1"/>
  <c r="I52" i="34"/>
  <c r="L52" i="34" s="1"/>
  <c r="H52" i="34"/>
  <c r="E54" i="34"/>
  <c r="F54" i="34" s="1"/>
  <c r="C54" i="34"/>
  <c r="J53" i="34"/>
  <c r="I53" i="34"/>
  <c r="L53" i="34" s="1"/>
  <c r="H53" i="34"/>
  <c r="J55" i="33"/>
  <c r="D58" i="33"/>
  <c r="E58" i="33" s="1"/>
  <c r="G58" i="33" s="1"/>
  <c r="F56" i="33"/>
  <c r="K53" i="34" l="1"/>
  <c r="G54" i="34"/>
  <c r="D54" i="34"/>
  <c r="E55" i="34" s="1"/>
  <c r="F55" i="34" s="1"/>
  <c r="H56" i="33"/>
  <c r="K56" i="33" s="1"/>
  <c r="I56" i="33"/>
  <c r="J56" i="33" s="1"/>
  <c r="F58" i="33"/>
  <c r="I58" i="33" s="1"/>
  <c r="D59" i="33"/>
  <c r="E59" i="33" s="1"/>
  <c r="G59" i="33" s="1"/>
  <c r="F57" i="33"/>
  <c r="I57" i="33" s="1"/>
  <c r="C55" i="34" l="1"/>
  <c r="D55" i="34" s="1"/>
  <c r="C56" i="34" s="1"/>
  <c r="G55" i="34"/>
  <c r="J54" i="34"/>
  <c r="K54" i="34" s="1"/>
  <c r="H54" i="34"/>
  <c r="I54" i="34"/>
  <c r="L54" i="34" s="1"/>
  <c r="J57" i="33"/>
  <c r="H57" i="33"/>
  <c r="K57" i="33" s="1"/>
  <c r="H58" i="33"/>
  <c r="K58" i="33" s="1"/>
  <c r="J58" i="33"/>
  <c r="D60" i="33"/>
  <c r="E60" i="33" s="1"/>
  <c r="G60" i="33" s="1"/>
  <c r="D56" i="34" l="1"/>
  <c r="E57" i="34" s="1"/>
  <c r="F57" i="34" s="1"/>
  <c r="G57" i="34" s="1"/>
  <c r="E56" i="34"/>
  <c r="F56" i="34" s="1"/>
  <c r="G56" i="34" s="1"/>
  <c r="J55" i="34"/>
  <c r="K55" i="34" s="1"/>
  <c r="H55" i="34"/>
  <c r="I55" i="34"/>
  <c r="L55" i="34" s="1"/>
  <c r="D61" i="33"/>
  <c r="E61" i="33" s="1"/>
  <c r="G61" i="33" s="1"/>
  <c r="F59" i="33"/>
  <c r="C57" i="34" l="1"/>
  <c r="J56" i="34"/>
  <c r="K56" i="34" s="1"/>
  <c r="H56" i="34"/>
  <c r="I56" i="34"/>
  <c r="L56" i="34" s="1"/>
  <c r="J57" i="34"/>
  <c r="H57" i="34"/>
  <c r="I57" i="34"/>
  <c r="L57" i="34" s="1"/>
  <c r="H59" i="33"/>
  <c r="K59" i="33" s="1"/>
  <c r="I59" i="33"/>
  <c r="J59" i="33" s="1"/>
  <c r="F60" i="33"/>
  <c r="I60" i="33" s="1"/>
  <c r="K57" i="34" l="1"/>
  <c r="D57" i="34"/>
  <c r="C58" i="34" s="1"/>
  <c r="D58" i="34" s="1"/>
  <c r="E59" i="34" s="1"/>
  <c r="F59" i="34" s="1"/>
  <c r="G59" i="34" s="1"/>
  <c r="H60" i="33"/>
  <c r="K60" i="33" s="1"/>
  <c r="F61" i="33"/>
  <c r="I61" i="33" s="1"/>
  <c r="J60" i="33"/>
  <c r="C59" i="34" l="1"/>
  <c r="D59" i="34" s="1"/>
  <c r="C60" i="34" s="1"/>
  <c r="D60" i="34" s="1"/>
  <c r="E58" i="34"/>
  <c r="F58" i="34" s="1"/>
  <c r="G58" i="34" s="1"/>
  <c r="H59" i="34" s="1"/>
  <c r="J59" i="34"/>
  <c r="H61" i="33"/>
  <c r="J61" i="33"/>
  <c r="O7" i="33" s="1"/>
  <c r="C4" i="38" s="1"/>
  <c r="D67" i="28"/>
  <c r="D66" i="28"/>
  <c r="T57" i="27"/>
  <c r="T53" i="27"/>
  <c r="T49" i="27"/>
  <c r="T45" i="27"/>
  <c r="T41" i="27"/>
  <c r="T37" i="27"/>
  <c r="T33" i="27"/>
  <c r="T29" i="27"/>
  <c r="T25" i="27"/>
  <c r="T21" i="27"/>
  <c r="T17" i="27"/>
  <c r="T13" i="27"/>
  <c r="T9" i="27"/>
  <c r="T5" i="27"/>
  <c r="T60" i="27"/>
  <c r="T56" i="27"/>
  <c r="T52" i="27"/>
  <c r="T48" i="27"/>
  <c r="T44" i="27"/>
  <c r="T40" i="27"/>
  <c r="T36" i="27"/>
  <c r="T32" i="27"/>
  <c r="T28" i="27"/>
  <c r="T24" i="27"/>
  <c r="T20" i="27"/>
  <c r="T16" i="27"/>
  <c r="T12" i="27"/>
  <c r="T8" i="27"/>
  <c r="T4" i="27"/>
  <c r="T59" i="27"/>
  <c r="T55" i="27"/>
  <c r="T51" i="27"/>
  <c r="T47" i="27"/>
  <c r="T43" i="27"/>
  <c r="T39" i="27"/>
  <c r="T35" i="27"/>
  <c r="T31" i="27"/>
  <c r="T27" i="27"/>
  <c r="T23" i="27"/>
  <c r="T19" i="27"/>
  <c r="T15" i="27"/>
  <c r="T11" i="27"/>
  <c r="T7" i="27"/>
  <c r="T3" i="27"/>
  <c r="T58" i="27"/>
  <c r="T54" i="27"/>
  <c r="T50" i="27"/>
  <c r="T46" i="27"/>
  <c r="T42" i="27"/>
  <c r="T38" i="27"/>
  <c r="T34" i="27"/>
  <c r="T30" i="27"/>
  <c r="T26" i="27"/>
  <c r="T22" i="27"/>
  <c r="T18" i="27"/>
  <c r="T14" i="27"/>
  <c r="T10" i="27"/>
  <c r="T6" i="27"/>
  <c r="T2" i="27"/>
  <c r="S5" i="26"/>
  <c r="S6" i="26"/>
  <c r="S7" i="26"/>
  <c r="S8" i="26"/>
  <c r="S9" i="26"/>
  <c r="S10" i="26"/>
  <c r="S11" i="26"/>
  <c r="S12" i="26"/>
  <c r="S13" i="26"/>
  <c r="S14" i="26"/>
  <c r="S15" i="26"/>
  <c r="S16" i="26"/>
  <c r="S17" i="26"/>
  <c r="S18" i="26"/>
  <c r="S19" i="26"/>
  <c r="S20" i="26"/>
  <c r="S21" i="26"/>
  <c r="S22" i="26"/>
  <c r="S23" i="26"/>
  <c r="S24" i="26"/>
  <c r="S25" i="26"/>
  <c r="S26" i="26"/>
  <c r="S27" i="26"/>
  <c r="S28" i="26"/>
  <c r="S29" i="26"/>
  <c r="S30" i="26"/>
  <c r="S31" i="26"/>
  <c r="S32" i="26"/>
  <c r="S33" i="26"/>
  <c r="S34" i="26"/>
  <c r="S35" i="26"/>
  <c r="S36" i="26"/>
  <c r="S37" i="26"/>
  <c r="S38" i="26"/>
  <c r="S39" i="26"/>
  <c r="S40" i="26"/>
  <c r="S41" i="26"/>
  <c r="S42" i="26"/>
  <c r="S43" i="26"/>
  <c r="S44" i="26"/>
  <c r="S45" i="26"/>
  <c r="S46" i="26"/>
  <c r="S47" i="26"/>
  <c r="S48" i="26"/>
  <c r="S49" i="26"/>
  <c r="S50" i="26"/>
  <c r="S51" i="26"/>
  <c r="S52" i="26"/>
  <c r="S53" i="26"/>
  <c r="S54" i="26"/>
  <c r="S55" i="26"/>
  <c r="S56" i="26"/>
  <c r="S57" i="26"/>
  <c r="S58" i="26"/>
  <c r="S59" i="26"/>
  <c r="S60" i="26"/>
  <c r="S61" i="26"/>
  <c r="S62" i="26"/>
  <c r="S4" i="26"/>
  <c r="T4" i="26" a="1"/>
  <c r="T4" i="26" s="1"/>
  <c r="R5" i="24"/>
  <c r="R6" i="24"/>
  <c r="R7" i="24"/>
  <c r="R8" i="24"/>
  <c r="R9" i="24"/>
  <c r="R10" i="24"/>
  <c r="R11" i="24"/>
  <c r="R12" i="24"/>
  <c r="R13" i="24"/>
  <c r="R14" i="24"/>
  <c r="R15" i="24"/>
  <c r="R16" i="24"/>
  <c r="R17" i="24"/>
  <c r="R18" i="24"/>
  <c r="R4" i="24"/>
  <c r="S2" i="23"/>
  <c r="S3" i="23"/>
  <c r="S4" i="23"/>
  <c r="S5" i="23"/>
  <c r="S6" i="23"/>
  <c r="S7" i="23"/>
  <c r="S8" i="23"/>
  <c r="S9" i="23"/>
  <c r="S10" i="23"/>
  <c r="S11" i="23"/>
  <c r="S12" i="23"/>
  <c r="S13" i="23"/>
  <c r="S14" i="23"/>
  <c r="S15" i="23"/>
  <c r="S16" i="23"/>
  <c r="S17" i="23"/>
  <c r="F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2" i="20"/>
  <c r="C60" i="10"/>
  <c r="B60" i="10"/>
  <c r="C3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2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K61" i="33" l="1"/>
  <c r="N7" i="33"/>
  <c r="I59" i="34"/>
  <c r="L59" i="34" s="1"/>
  <c r="E60" i="34"/>
  <c r="F60" i="34" s="1"/>
  <c r="G60" i="34" s="1"/>
  <c r="I58" i="34"/>
  <c r="L58" i="34" s="1"/>
  <c r="H58" i="34"/>
  <c r="J58" i="34"/>
  <c r="K58" i="34" s="1"/>
  <c r="B4" i="38" l="1"/>
  <c r="R7" i="33"/>
  <c r="F4" i="38" s="1"/>
  <c r="P7" i="33"/>
  <c r="D4" i="38" s="1"/>
  <c r="Q7" i="33"/>
  <c r="E4" i="38" s="1"/>
  <c r="K59" i="34"/>
  <c r="J60" i="34"/>
  <c r="K60" i="34" s="1"/>
  <c r="Q7" i="34" s="1"/>
  <c r="H60" i="34"/>
  <c r="I60" i="34"/>
  <c r="P7" i="34" l="1"/>
  <c r="T7" i="34" s="1"/>
  <c r="L60" i="34"/>
  <c r="S7" i="34" l="1"/>
  <c r="E5" i="38" s="1"/>
  <c r="R7" i="34"/>
  <c r="D5" i="3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940990-E212-4945-B1E1-5FF9DCEF65B3}" keepAlive="1" name="Consulta - Medical Device Companies" description="Conexión a la consulta 'Medical Device Companies' en el libro." type="5" refreshedVersion="8" background="1" saveData="1">
    <dbPr connection="Provider=Microsoft.Mashup.OleDb.1;Data Source=$Workbook$;Location=&quot;Medical Device Companies&quot;;Extended Properties=&quot;&quot;" command="SELECT * FROM [Medical Device Compani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<sst xmlns="http://schemas.openxmlformats.org/spreadsheetml/2006/main" count="3042" uniqueCount="1310">
  <si>
    <t>Material</t>
  </si>
  <si>
    <t>Category</t>
  </si>
  <si>
    <t>image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</si>
  <si>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</si>
  <si>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</si>
  <si>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</si>
  <si>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</si>
  <si>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</si>
  <si>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</si>
  <si>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</si>
  <si>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</si>
  <si>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</si>
  <si>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</si>
  <si>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</si>
  <si>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</si>
  <si>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</si>
  <si>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</si>
  <si>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</si>
  <si>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</si>
  <si>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</si>
  <si>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</si>
  <si>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</si>
  <si>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</si>
  <si>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</si>
  <si>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</si>
  <si>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</si>
  <si>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</si>
  <si>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</si>
  <si>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</si>
  <si>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</si>
  <si>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</si>
  <si>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</si>
  <si>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</si>
  <si>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</si>
  <si>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</si>
  <si>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</si>
  <si>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</si>
  <si>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</si>
  <si>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</si>
  <si>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</si>
  <si>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</si>
  <si>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</si>
  <si>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</si>
  <si>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</si>
  <si>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</si>
  <si>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</si>
  <si>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</si>
  <si>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</si>
  <si>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</si>
  <si>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</si>
  <si>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</si>
  <si>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</si>
  <si>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</si>
  <si>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</si>
  <si>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</si>
  <si>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</si>
  <si>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</si>
  <si>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</si>
  <si>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</si>
  <si>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</si>
  <si>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</si>
  <si>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</si>
  <si>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Abbott Lab</t>
  </si>
  <si>
    <t>US</t>
  </si>
  <si>
    <t>https://logo.clearbit.com/abbott.com</t>
  </si>
  <si>
    <t>Medtronic</t>
  </si>
  <si>
    <t>Ireland</t>
  </si>
  <si>
    <t>https://logo.clearbit.com/medtronic.com</t>
  </si>
  <si>
    <t>Stryker</t>
  </si>
  <si>
    <t>https://logo.clearbit.com/stryker.com</t>
  </si>
  <si>
    <t>Boston Scientific</t>
  </si>
  <si>
    <t>https://logo.clearbit.com/bostonscientific.com</t>
  </si>
  <si>
    <t>Baxter</t>
  </si>
  <si>
    <t>https://logo.clearbit.com/baxter.com</t>
  </si>
  <si>
    <t>Zimmer Biomet</t>
  </si>
  <si>
    <t>https://logo.clearbit.com/zimmerbiomet.com</t>
  </si>
  <si>
    <t>$829</t>
  </si>
  <si>
    <t>$847</t>
  </si>
  <si>
    <t>$763</t>
  </si>
  <si>
    <t>$848</t>
  </si>
  <si>
    <t>$860</t>
  </si>
  <si>
    <t>$882</t>
  </si>
  <si>
    <t>$820</t>
  </si>
  <si>
    <t>$934</t>
  </si>
  <si>
    <t>$950</t>
  </si>
  <si>
    <t>$971</t>
  </si>
  <si>
    <t>$903</t>
  </si>
  <si>
    <t>$952</t>
  </si>
  <si>
    <t>$993</t>
  </si>
  <si>
    <t>$976</t>
  </si>
  <si>
    <t>$965</t>
  </si>
  <si>
    <t>ResMed</t>
  </si>
  <si>
    <t>https://logo.clearbit.com/resmed.com</t>
  </si>
  <si>
    <t>$108</t>
  </si>
  <si>
    <t>$125</t>
  </si>
  <si>
    <t>$127</t>
  </si>
  <si>
    <t>$146</t>
  </si>
  <si>
    <t>$162</t>
  </si>
  <si>
    <t>$171</t>
  </si>
  <si>
    <t>$164</t>
  </si>
  <si>
    <t>$178</t>
  </si>
  <si>
    <t>$183</t>
  </si>
  <si>
    <t>$191</t>
  </si>
  <si>
    <t>$186</t>
  </si>
  <si>
    <t>$203</t>
  </si>
  <si>
    <t>$212</t>
  </si>
  <si>
    <t>$235</t>
  </si>
  <si>
    <t>$218</t>
  </si>
  <si>
    <t>$223</t>
  </si>
  <si>
    <t>$228</t>
  </si>
  <si>
    <t>$252</t>
  </si>
  <si>
    <t>$247</t>
  </si>
  <si>
    <t>$275</t>
  </si>
  <si>
    <t>$279</t>
  </si>
  <si>
    <t>$292</t>
  </si>
  <si>
    <t>$282</t>
  </si>
  <si>
    <t>$306</t>
  </si>
  <si>
    <t>$313</t>
  </si>
  <si>
    <t>$342</t>
  </si>
  <si>
    <t>$315</t>
  </si>
  <si>
    <t>$333</t>
  </si>
  <si>
    <t>$349</t>
  </si>
  <si>
    <t>$372</t>
  </si>
  <si>
    <t>$340</t>
  </si>
  <si>
    <t>$377</t>
  </si>
  <si>
    <t>$384</t>
  </si>
  <si>
    <t>$415</t>
  </si>
  <si>
    <t>$358</t>
  </si>
  <si>
    <t>$398</t>
  </si>
  <si>
    <t>$380</t>
  </si>
  <si>
    <t>$423</t>
  </si>
  <si>
    <t>$422</t>
  </si>
  <si>
    <t>$453</t>
  </si>
  <si>
    <t>$412</t>
  </si>
  <si>
    <t>$455</t>
  </si>
  <si>
    <t>$454</t>
  </si>
  <si>
    <t>$519</t>
  </si>
  <si>
    <t>$465</t>
  </si>
  <si>
    <t>$530</t>
  </si>
  <si>
    <t>$514</t>
  </si>
  <si>
    <t>$557</t>
  </si>
  <si>
    <t>$524</t>
  </si>
  <si>
    <t>$601</t>
  </si>
  <si>
    <t>$592</t>
  </si>
  <si>
    <t>$624</t>
  </si>
  <si>
    <t>$588</t>
  </si>
  <si>
    <t>$651</t>
  </si>
  <si>
    <t>$662</t>
  </si>
  <si>
    <t>$705</t>
  </si>
  <si>
    <t>$681</t>
  </si>
  <si>
    <t>Smith &amp; Nephew</t>
  </si>
  <si>
    <t>UK</t>
  </si>
  <si>
    <t>https://logo.clearbit.com/smith-nephew.com</t>
  </si>
  <si>
    <t>$625</t>
  </si>
  <si>
    <t>$652</t>
  </si>
  <si>
    <t>$609</t>
  </si>
  <si>
    <t>$673</t>
  </si>
  <si>
    <t>$643</t>
  </si>
  <si>
    <t>$686</t>
  </si>
  <si>
    <t>$679</t>
  </si>
  <si>
    <t>$771</t>
  </si>
  <si>
    <t>$744</t>
  </si>
  <si>
    <t>$813</t>
  </si>
  <si>
    <t>$845</t>
  </si>
  <si>
    <t>$967</t>
  </si>
  <si>
    <t>$911</t>
  </si>
  <si>
    <t>$930</t>
  </si>
  <si>
    <t>$960</t>
  </si>
  <si>
    <t>$865</t>
  </si>
  <si>
    <t>$926</t>
  </si>
  <si>
    <t>$915</t>
  </si>
  <si>
    <t>$995</t>
  </si>
  <si>
    <t>$959</t>
  </si>
  <si>
    <t>$941</t>
  </si>
  <si>
    <t/>
  </si>
  <si>
    <t>Insulet</t>
  </si>
  <si>
    <t>https://media.licdn.com/dms/image/C510BAQE7d29_H5MsNg/company-logo_400_400/0?e=1583366400&amp;v=beta&amp;t=LJ4cw1dBPmB1vxy0xNZNND6boX5HZkCzoEf4FmGG9Sg</t>
  </si>
  <si>
    <t>$0</t>
  </si>
  <si>
    <t>$1</t>
  </si>
  <si>
    <t>$2</t>
  </si>
  <si>
    <t>$3</t>
  </si>
  <si>
    <t>$4</t>
  </si>
  <si>
    <t>$7</t>
  </si>
  <si>
    <t>$10</t>
  </si>
  <si>
    <t>$12</t>
  </si>
  <si>
    <t>$15</t>
  </si>
  <si>
    <t>$19</t>
  </si>
  <si>
    <t>$20</t>
  </si>
  <si>
    <t>$21</t>
  </si>
  <si>
    <t>$23</t>
  </si>
  <si>
    <t>$25</t>
  </si>
  <si>
    <t>$28</t>
  </si>
  <si>
    <t>$32</t>
  </si>
  <si>
    <t>$45</t>
  </si>
  <si>
    <t>$47</t>
  </si>
  <si>
    <t>$48</t>
  </si>
  <si>
    <t>$51</t>
  </si>
  <si>
    <t>$55</t>
  </si>
  <si>
    <t>$58</t>
  </si>
  <si>
    <t>$57</t>
  </si>
  <si>
    <t>$60</t>
  </si>
  <si>
    <t>$61</t>
  </si>
  <si>
    <t>$69</t>
  </si>
  <si>
    <t>$72</t>
  </si>
  <si>
    <t>$75</t>
  </si>
  <si>
    <t>$71</t>
  </si>
  <si>
    <t>$84</t>
  </si>
  <si>
    <t>$81</t>
  </si>
  <si>
    <t>$87</t>
  </si>
  <si>
    <t>$95</t>
  </si>
  <si>
    <t>$104</t>
  </si>
  <si>
    <t>$102</t>
  </si>
  <si>
    <t>$110</t>
  </si>
  <si>
    <t>$122</t>
  </si>
  <si>
    <t>$131</t>
  </si>
  <si>
    <t>$124</t>
  </si>
  <si>
    <t>$151</t>
  </si>
  <si>
    <t>$165</t>
  </si>
  <si>
    <t>$160</t>
  </si>
  <si>
    <t>$177</t>
  </si>
  <si>
    <t>$192</t>
  </si>
  <si>
    <t>Bio-Rad Lab</t>
  </si>
  <si>
    <t>https://logo.clearbit.com/bio-rad.com</t>
  </si>
  <si>
    <t>$299</t>
  </si>
  <si>
    <t>$291</t>
  </si>
  <si>
    <t>$283</t>
  </si>
  <si>
    <t>$307</t>
  </si>
  <si>
    <t>$308</t>
  </si>
  <si>
    <t>$318</t>
  </si>
  <si>
    <t>$305</t>
  </si>
  <si>
    <t>$343</t>
  </si>
  <si>
    <t>$323</t>
  </si>
  <si>
    <t>$339</t>
  </si>
  <si>
    <t>$460</t>
  </si>
  <si>
    <t>$452</t>
  </si>
  <si>
    <t>$442</t>
  </si>
  <si>
    <t>$448</t>
  </si>
  <si>
    <t>$401</t>
  </si>
  <si>
    <t>$427</t>
  </si>
  <si>
    <t>$461</t>
  </si>
  <si>
    <t>$495</t>
  </si>
  <si>
    <t>$468</t>
  </si>
  <si>
    <t>$472</t>
  </si>
  <si>
    <t>$534</t>
  </si>
  <si>
    <t>$485</t>
  </si>
  <si>
    <t>$522</t>
  </si>
  <si>
    <t>$517</t>
  </si>
  <si>
    <t>$550</t>
  </si>
  <si>
    <t>$486</t>
  </si>
  <si>
    <t>$510</t>
  </si>
  <si>
    <t>$499</t>
  </si>
  <si>
    <t>$574</t>
  </si>
  <si>
    <t>$500</t>
  </si>
  <si>
    <t>$525</t>
  </si>
  <si>
    <t>$505</t>
  </si>
  <si>
    <t>$603</t>
  </si>
  <si>
    <t>$509</t>
  </si>
  <si>
    <t>$537</t>
  </si>
  <si>
    <t>$531</t>
  </si>
  <si>
    <t>$598</t>
  </si>
  <si>
    <t>$473</t>
  </si>
  <si>
    <t>$506</t>
  </si>
  <si>
    <t>$470</t>
  </si>
  <si>
    <t>$571</t>
  </si>
  <si>
    <t>$471</t>
  </si>
  <si>
    <t>$621</t>
  </si>
  <si>
    <t>$552</t>
  </si>
  <si>
    <t>$576</t>
  </si>
  <si>
    <t>$545</t>
  </si>
  <si>
    <t>$617</t>
  </si>
  <si>
    <t>$554</t>
  </si>
  <si>
    <t>$573</t>
  </si>
  <si>
    <t>$561</t>
  </si>
  <si>
    <t>Hologic</t>
  </si>
  <si>
    <t>https://logo.clearbit.com/hologic.com</t>
  </si>
  <si>
    <t>$74</t>
  </si>
  <si>
    <t>$78</t>
  </si>
  <si>
    <t>$88</t>
  </si>
  <si>
    <t>$101</t>
  </si>
  <si>
    <t>$120</t>
  </si>
  <si>
    <t>$154</t>
  </si>
  <si>
    <t>$163</t>
  </si>
  <si>
    <t>$181</t>
  </si>
  <si>
    <t>$371</t>
  </si>
  <si>
    <t>$431</t>
  </si>
  <si>
    <t>$429</t>
  </si>
  <si>
    <t>$443</t>
  </si>
  <si>
    <t>$402</t>
  </si>
  <si>
    <t>$403</t>
  </si>
  <si>
    <t>$418</t>
  </si>
  <si>
    <t>$421</t>
  </si>
  <si>
    <t>$428</t>
  </si>
  <si>
    <t>$433</t>
  </si>
  <si>
    <t>$439</t>
  </si>
  <si>
    <t>$451</t>
  </si>
  <si>
    <t>$467</t>
  </si>
  <si>
    <t>$631</t>
  </si>
  <si>
    <t>$613</t>
  </si>
  <si>
    <t>$626</t>
  </si>
  <si>
    <t>$622</t>
  </si>
  <si>
    <t>$633</t>
  </si>
  <si>
    <t>$661</t>
  </si>
  <si>
    <t>$653</t>
  </si>
  <si>
    <t>$656</t>
  </si>
  <si>
    <t>$694</t>
  </si>
  <si>
    <t>$703</t>
  </si>
  <si>
    <t>$695</t>
  </si>
  <si>
    <t>$693</t>
  </si>
  <si>
    <t>$717</t>
  </si>
  <si>
    <t>$727</t>
  </si>
  <si>
    <t>$734</t>
  </si>
  <si>
    <t>$715</t>
  </si>
  <si>
    <t>$806</t>
  </si>
  <si>
    <t>$803</t>
  </si>
  <si>
    <t>$791</t>
  </si>
  <si>
    <t>$789</t>
  </si>
  <si>
    <t>$824</t>
  </si>
  <si>
    <t>$814</t>
  </si>
  <si>
    <t>$831</t>
  </si>
  <si>
    <t>$818</t>
  </si>
  <si>
    <t>$852</t>
  </si>
  <si>
    <t>Thermo Fisher Scientific</t>
  </si>
  <si>
    <t>https://logo.clearbit.com/thermofisher.com</t>
  </si>
  <si>
    <t>$559</t>
  </si>
  <si>
    <t>$654</t>
  </si>
  <si>
    <t>$741</t>
  </si>
  <si>
    <t>$684</t>
  </si>
  <si>
    <t>$714</t>
  </si>
  <si>
    <t>$725</t>
  </si>
  <si>
    <t>Intuitive Surgical</t>
  </si>
  <si>
    <t>https://cdn.theorg.com/d522f6d5-8b3a-413e-84db-d21843316627_medium.png</t>
  </si>
  <si>
    <t>$42</t>
  </si>
  <si>
    <t>$53</t>
  </si>
  <si>
    <t>$77</t>
  </si>
  <si>
    <t>$96</t>
  </si>
  <si>
    <t>$113</t>
  </si>
  <si>
    <t>$114</t>
  </si>
  <si>
    <t>$140</t>
  </si>
  <si>
    <t>$157</t>
  </si>
  <si>
    <t>$189</t>
  </si>
  <si>
    <t>$188</t>
  </si>
  <si>
    <t>$219</t>
  </si>
  <si>
    <t>$236</t>
  </si>
  <si>
    <t>$232</t>
  </si>
  <si>
    <t>$261</t>
  </si>
  <si>
    <t>$280</t>
  </si>
  <si>
    <t>$329</t>
  </si>
  <si>
    <t>$351</t>
  </si>
  <si>
    <t>$344</t>
  </si>
  <si>
    <t>$389</t>
  </si>
  <si>
    <t>$388</t>
  </si>
  <si>
    <t>$426</t>
  </si>
  <si>
    <t>$447</t>
  </si>
  <si>
    <t>$497</t>
  </si>
  <si>
    <t>$538</t>
  </si>
  <si>
    <t>$611</t>
  </si>
  <si>
    <t>$579</t>
  </si>
  <si>
    <t>$512</t>
  </si>
  <si>
    <t>$605</t>
  </si>
  <si>
    <t>$532</t>
  </si>
  <si>
    <t>$586</t>
  </si>
  <si>
    <t>$590</t>
  </si>
  <si>
    <t>$677</t>
  </si>
  <si>
    <t>$595</t>
  </si>
  <si>
    <t>$670</t>
  </si>
  <si>
    <t>$683</t>
  </si>
  <si>
    <t>$759</t>
  </si>
  <si>
    <t>$680</t>
  </si>
  <si>
    <t>$808</t>
  </si>
  <si>
    <t>$892</t>
  </si>
  <si>
    <t>$909</t>
  </si>
  <si>
    <t>$921</t>
  </si>
  <si>
    <t>$974</t>
  </si>
  <si>
    <t>Edward Lifescience</t>
  </si>
  <si>
    <t>https://logo.clearbit.com/edwards.com</t>
  </si>
  <si>
    <t>$249</t>
  </si>
  <si>
    <t>$258</t>
  </si>
  <si>
    <t>$241</t>
  </si>
  <si>
    <t>$250</t>
  </si>
  <si>
    <t>$257</t>
  </si>
  <si>
    <t>$267</t>
  </si>
  <si>
    <t>$266</t>
  </si>
  <si>
    <t>$264</t>
  </si>
  <si>
    <t>$273</t>
  </si>
  <si>
    <t>$293</t>
  </si>
  <si>
    <t>$297</t>
  </si>
  <si>
    <t>$328</t>
  </si>
  <si>
    <t>$304</t>
  </si>
  <si>
    <t>$310</t>
  </si>
  <si>
    <t>$314</t>
  </si>
  <si>
    <t>$336</t>
  </si>
  <si>
    <t>$326</t>
  </si>
  <si>
    <t>$347</t>
  </si>
  <si>
    <t>$341</t>
  </si>
  <si>
    <t>$365</t>
  </si>
  <si>
    <t>$392</t>
  </si>
  <si>
    <t>$405</t>
  </si>
  <si>
    <t>$413</t>
  </si>
  <si>
    <t>$430</t>
  </si>
  <si>
    <t>$459</t>
  </si>
  <si>
    <t>$482</t>
  </si>
  <si>
    <t>$511</t>
  </si>
  <si>
    <t>$496</t>
  </si>
  <si>
    <t>$536</t>
  </si>
  <si>
    <t>$575</t>
  </si>
  <si>
    <t>$607</t>
  </si>
  <si>
    <t>$618</t>
  </si>
  <si>
    <t>$616</t>
  </si>
  <si>
    <t>$671</t>
  </si>
  <si>
    <t>$697</t>
  </si>
  <si>
    <t>$739</t>
  </si>
  <si>
    <t>$768</t>
  </si>
  <si>
    <t>$884</t>
  </si>
  <si>
    <t>$842</t>
  </si>
  <si>
    <t>$822</t>
  </si>
  <si>
    <t>$889</t>
  </si>
  <si>
    <t>$895</t>
  </si>
  <si>
    <t>$944</t>
  </si>
  <si>
    <t>$907</t>
  </si>
  <si>
    <t>$978</t>
  </si>
  <si>
    <t>Fresenius Medical Care</t>
  </si>
  <si>
    <t>Germany</t>
  </si>
  <si>
    <t>https://logo.clearbit.com/fmcna.com</t>
  </si>
  <si>
    <t>IDEXX Lab</t>
  </si>
  <si>
    <t>https://logo.clearbit.com/idexx.com</t>
  </si>
  <si>
    <t>$152</t>
  </si>
  <si>
    <t>$161</t>
  </si>
  <si>
    <t>$158</t>
  </si>
  <si>
    <t>$167</t>
  </si>
  <si>
    <t>$168</t>
  </si>
  <si>
    <t>$187</t>
  </si>
  <si>
    <t>$211</t>
  </si>
  <si>
    <t>$237</t>
  </si>
  <si>
    <t>$229</t>
  </si>
  <si>
    <t>$245</t>
  </si>
  <si>
    <t>$281</t>
  </si>
  <si>
    <t>$251</t>
  </si>
  <si>
    <t>$243</t>
  </si>
  <si>
    <t>$259</t>
  </si>
  <si>
    <t>$270</t>
  </si>
  <si>
    <t>$269</t>
  </si>
  <si>
    <t>$284</t>
  </si>
  <si>
    <t>$301</t>
  </si>
  <si>
    <t>$320</t>
  </si>
  <si>
    <t>$332</t>
  </si>
  <si>
    <t>$353</t>
  </si>
  <si>
    <t>$338</t>
  </si>
  <si>
    <t>$354</t>
  </si>
  <si>
    <t>$360</t>
  </si>
  <si>
    <t>$390</t>
  </si>
  <si>
    <t>$352</t>
  </si>
  <si>
    <t>$382</t>
  </si>
  <si>
    <t>$406</t>
  </si>
  <si>
    <t>$400</t>
  </si>
  <si>
    <t>$462</t>
  </si>
  <si>
    <t>$492</t>
  </si>
  <si>
    <t>$581</t>
  </si>
  <si>
    <t>$549</t>
  </si>
  <si>
    <t>$620</t>
  </si>
  <si>
    <t>DexCom</t>
  </si>
  <si>
    <t>https://logo.clearbit.com/dexcom.pro</t>
  </si>
  <si>
    <t>$5</t>
  </si>
  <si>
    <t>$16</t>
  </si>
  <si>
    <t>$14</t>
  </si>
  <si>
    <t>$18</t>
  </si>
  <si>
    <t>$22</t>
  </si>
  <si>
    <t>$33</t>
  </si>
  <si>
    <t>$30</t>
  </si>
  <si>
    <t>$36</t>
  </si>
  <si>
    <t>$43</t>
  </si>
  <si>
    <t>$52</t>
  </si>
  <si>
    <t>$59</t>
  </si>
  <si>
    <t>$73</t>
  </si>
  <si>
    <t>$93</t>
  </si>
  <si>
    <t>$105</t>
  </si>
  <si>
    <t>$116</t>
  </si>
  <si>
    <t>$137</t>
  </si>
  <si>
    <t>$149</t>
  </si>
  <si>
    <t>$142</t>
  </si>
  <si>
    <t>$185</t>
  </si>
  <si>
    <t>$221</t>
  </si>
  <si>
    <t>$184</t>
  </si>
  <si>
    <t>$396</t>
  </si>
  <si>
    <t>Teleflex</t>
  </si>
  <si>
    <t>https://cdn.idataresearch.com/wp-content/uploads/2017/05/teleflex-7x4.jpg</t>
  </si>
  <si>
    <t>$657</t>
  </si>
  <si>
    <t>$587</t>
  </si>
  <si>
    <t>$647</t>
  </si>
  <si>
    <t>$600</t>
  </si>
  <si>
    <t>$650</t>
  </si>
  <si>
    <t>$606</t>
  </si>
  <si>
    <t>$449</t>
  </si>
  <si>
    <t>$440</t>
  </si>
  <si>
    <t>$224</t>
  </si>
  <si>
    <t>$542</t>
  </si>
  <si>
    <t>$560</t>
  </si>
  <si>
    <t>$504</t>
  </si>
  <si>
    <t>$441</t>
  </si>
  <si>
    <t>$115</t>
  </si>
  <si>
    <t>$367</t>
  </si>
  <si>
    <t>$345</t>
  </si>
  <si>
    <t>$327</t>
  </si>
  <si>
    <t>$381</t>
  </si>
  <si>
    <t>$363</t>
  </si>
  <si>
    <t>$395</t>
  </si>
  <si>
    <t>$383</t>
  </si>
  <si>
    <t>$368</t>
  </si>
  <si>
    <t>$419</t>
  </si>
  <si>
    <t>$420</t>
  </si>
  <si>
    <t>$414</t>
  </si>
  <si>
    <t>$457</t>
  </si>
  <si>
    <t>$476</t>
  </si>
  <si>
    <t>$444</t>
  </si>
  <si>
    <t>$425</t>
  </si>
  <si>
    <t>$474</t>
  </si>
  <si>
    <t>$456</t>
  </si>
  <si>
    <t>$488</t>
  </si>
  <si>
    <t>$529</t>
  </si>
  <si>
    <t>$535</t>
  </si>
  <si>
    <t>$610</t>
  </si>
  <si>
    <t>$642</t>
  </si>
  <si>
    <t>$614</t>
  </si>
  <si>
    <t>$648</t>
  </si>
  <si>
    <t>STERIS</t>
  </si>
  <si>
    <t>https://logo.clearbit.com/steris.com</t>
  </si>
  <si>
    <t>$288</t>
  </si>
  <si>
    <t>$268</t>
  </si>
  <si>
    <t>$287</t>
  </si>
  <si>
    <t>$331</t>
  </si>
  <si>
    <t>$265</t>
  </si>
  <si>
    <t>$350</t>
  </si>
  <si>
    <t>$295</t>
  </si>
  <si>
    <t>$375</t>
  </si>
  <si>
    <t>$312</t>
  </si>
  <si>
    <t>$319</t>
  </si>
  <si>
    <t>$378</t>
  </si>
  <si>
    <t>$355</t>
  </si>
  <si>
    <t>$337</t>
  </si>
  <si>
    <t>$356</t>
  </si>
  <si>
    <t>$463</t>
  </si>
  <si>
    <t>$502</t>
  </si>
  <si>
    <t>$490</t>
  </si>
  <si>
    <t>$619</t>
  </si>
  <si>
    <t>$690</t>
  </si>
  <si>
    <t>$638</t>
  </si>
  <si>
    <t>$646</t>
  </si>
  <si>
    <t>$608</t>
  </si>
  <si>
    <t>$634</t>
  </si>
  <si>
    <t>$716</t>
  </si>
  <si>
    <t>$639</t>
  </si>
  <si>
    <t>$696</t>
  </si>
  <si>
    <t>$737</t>
  </si>
  <si>
    <t>Varian Medical</t>
  </si>
  <si>
    <t>https://logo.clearbit.com/varian.com</t>
  </si>
  <si>
    <t>$386</t>
  </si>
  <si>
    <t>$334</t>
  </si>
  <si>
    <t>$424</t>
  </si>
  <si>
    <t>$501</t>
  </si>
  <si>
    <t>$518</t>
  </si>
  <si>
    <t>$507</t>
  </si>
  <si>
    <t>$593</t>
  </si>
  <si>
    <t>$541</t>
  </si>
  <si>
    <t>$578</t>
  </si>
  <si>
    <t>$580</t>
  </si>
  <si>
    <t>$649</t>
  </si>
  <si>
    <t>$719</t>
  </si>
  <si>
    <t>$720</t>
  </si>
  <si>
    <t>$756</t>
  </si>
  <si>
    <t>$678</t>
  </si>
  <si>
    <t>$726</t>
  </si>
  <si>
    <t>$770</t>
  </si>
  <si>
    <t>$712</t>
  </si>
  <si>
    <t>$779</t>
  </si>
  <si>
    <t>$748</t>
  </si>
  <si>
    <t>$812</t>
  </si>
  <si>
    <t>$738</t>
  </si>
  <si>
    <t>$784</t>
  </si>
  <si>
    <t>$209</t>
  </si>
  <si>
    <t>$757</t>
  </si>
  <si>
    <t>$615</t>
  </si>
  <si>
    <t>$602</t>
  </si>
  <si>
    <t>$663</t>
  </si>
  <si>
    <t>$722</t>
  </si>
  <si>
    <t>$730</t>
  </si>
  <si>
    <t>$709</t>
  </si>
  <si>
    <t>$802</t>
  </si>
  <si>
    <t>$826</t>
  </si>
  <si>
    <t>$879</t>
  </si>
  <si>
    <t>Masimo</t>
  </si>
  <si>
    <t>https://logo.clearbit.com/masimopersonalhealth.co.uk</t>
  </si>
  <si>
    <t>$56</t>
  </si>
  <si>
    <t>$64</t>
  </si>
  <si>
    <t>$83</t>
  </si>
  <si>
    <t>$85</t>
  </si>
  <si>
    <t>$99</t>
  </si>
  <si>
    <t>$100</t>
  </si>
  <si>
    <t>$106</t>
  </si>
  <si>
    <t>$112</t>
  </si>
  <si>
    <t>$119</t>
  </si>
  <si>
    <t>$123</t>
  </si>
  <si>
    <t>$132</t>
  </si>
  <si>
    <t>$136</t>
  </si>
  <si>
    <t>$141</t>
  </si>
  <si>
    <t>$144</t>
  </si>
  <si>
    <t>$155</t>
  </si>
  <si>
    <t>$156</t>
  </si>
  <si>
    <t>$153</t>
  </si>
  <si>
    <t>$173</t>
  </si>
  <si>
    <t>$201</t>
  </si>
  <si>
    <t>$197</t>
  </si>
  <si>
    <t>$193</t>
  </si>
  <si>
    <t>$208</t>
  </si>
  <si>
    <t>$213</t>
  </si>
  <si>
    <t>$230</t>
  </si>
  <si>
    <t>Etiquetas de fila</t>
  </si>
  <si>
    <t>Total general</t>
  </si>
  <si>
    <t>Periodo</t>
  </si>
  <si>
    <t>(Todas)</t>
  </si>
  <si>
    <t>Año</t>
  </si>
  <si>
    <t>Cuatrimestre</t>
  </si>
  <si>
    <t>https://www.kaggle.com/datasets/mathurinache/medicaldevicecompanies</t>
  </si>
  <si>
    <t>This dataset about Medical Device Companies is extracted from Flourish visualisation. </t>
  </si>
  <si>
    <t xml:space="preserve"> 2005</t>
  </si>
  <si>
    <t xml:space="preserve"> 2006</t>
  </si>
  <si>
    <t xml:space="preserve"> 2007</t>
  </si>
  <si>
    <t xml:space="preserve"> 2008</t>
  </si>
  <si>
    <t xml:space="preserve"> 2009</t>
  </si>
  <si>
    <t xml:space="preserve"> 2010</t>
  </si>
  <si>
    <t xml:space="preserve"> 2011</t>
  </si>
  <si>
    <t xml:space="preserve"> 2012</t>
  </si>
  <si>
    <t xml:space="preserve"> 2013</t>
  </si>
  <si>
    <t xml:space="preserve"> 2014</t>
  </si>
  <si>
    <t xml:space="preserve"> 2015</t>
  </si>
  <si>
    <t xml:space="preserve"> 2016</t>
  </si>
  <si>
    <t xml:space="preserve"> 2017</t>
  </si>
  <si>
    <t xml:space="preserve"> 2018</t>
  </si>
  <si>
    <t xml:space="preserve"> 2019</t>
  </si>
  <si>
    <t>$2.531</t>
  </si>
  <si>
    <t>$2.778</t>
  </si>
  <si>
    <t>$2.690</t>
  </si>
  <si>
    <t>$2.765</t>
  </si>
  <si>
    <t>$2.770</t>
  </si>
  <si>
    <t>$3.067</t>
  </si>
  <si>
    <t>$2.897</t>
  </si>
  <si>
    <t>$3.075</t>
  </si>
  <si>
    <t>$3.048</t>
  </si>
  <si>
    <t>$3.279</t>
  </si>
  <si>
    <t>$3.127</t>
  </si>
  <si>
    <t>$3.124</t>
  </si>
  <si>
    <t>$3.405</t>
  </si>
  <si>
    <t>$3.859</t>
  </si>
  <si>
    <t>$3.706</t>
  </si>
  <si>
    <t>$3.570</t>
  </si>
  <si>
    <t>$3.494</t>
  </si>
  <si>
    <t>$3.829</t>
  </si>
  <si>
    <t>$3.933</t>
  </si>
  <si>
    <t>$3.838</t>
  </si>
  <si>
    <t>$3.851</t>
  </si>
  <si>
    <t>$3.770</t>
  </si>
  <si>
    <t>$3.773</t>
  </si>
  <si>
    <t>$3.903</t>
  </si>
  <si>
    <t>$3.857</t>
  </si>
  <si>
    <t>$3.975</t>
  </si>
  <si>
    <t>$3.946</t>
  </si>
  <si>
    <t>$4.023</t>
  </si>
  <si>
    <t>$3.918</t>
  </si>
  <si>
    <t>$4.297</t>
  </si>
  <si>
    <t>$4.008</t>
  </si>
  <si>
    <t>$4.095</t>
  </si>
  <si>
    <t>$4.027</t>
  </si>
  <si>
    <t>$4.460</t>
  </si>
  <si>
    <t>$4.083</t>
  </si>
  <si>
    <t>$4.194</t>
  </si>
  <si>
    <t>$4.163</t>
  </si>
  <si>
    <t>$4.565</t>
  </si>
  <si>
    <t>$4.273</t>
  </si>
  <si>
    <t>$4.366</t>
  </si>
  <si>
    <t>$4.318</t>
  </si>
  <si>
    <t>$7.304</t>
  </si>
  <si>
    <t>$7.274</t>
  </si>
  <si>
    <t>$7.058</t>
  </si>
  <si>
    <t>$6.934</t>
  </si>
  <si>
    <t>$7.567</t>
  </si>
  <si>
    <t>$7.166</t>
  </si>
  <si>
    <t>$7.345</t>
  </si>
  <si>
    <t>$7.283</t>
  </si>
  <si>
    <t>$7.916</t>
  </si>
  <si>
    <t>$7.390</t>
  </si>
  <si>
    <t>$7.050</t>
  </si>
  <si>
    <t>$7.369</t>
  </si>
  <si>
    <t>$8.144</t>
  </si>
  <si>
    <t>$7.384</t>
  </si>
  <si>
    <t>$7.481</t>
  </si>
  <si>
    <t>$7.546</t>
  </si>
  <si>
    <t>$8.146</t>
  </si>
  <si>
    <t>$7.493</t>
  </si>
  <si>
    <t>Suma de Abbott Lab</t>
  </si>
  <si>
    <t>Suma de Stryker</t>
  </si>
  <si>
    <t>Suma de Boston Scientific</t>
  </si>
  <si>
    <t>Suma de Baxter</t>
  </si>
  <si>
    <t>Suma de Zimmer Biomet</t>
  </si>
  <si>
    <t>Suma de ResMed</t>
  </si>
  <si>
    <t>Suma de Insulet</t>
  </si>
  <si>
    <t>Suma de Bio-Rad Lab</t>
  </si>
  <si>
    <t>$5.383</t>
  </si>
  <si>
    <t>$1.203</t>
  </si>
  <si>
    <t>$1.615</t>
  </si>
  <si>
    <t>$2.383</t>
  </si>
  <si>
    <t>$1.609</t>
  </si>
  <si>
    <t>$5.524</t>
  </si>
  <si>
    <t>$1.219</t>
  </si>
  <si>
    <t>$1.617</t>
  </si>
  <si>
    <t>$2.577</t>
  </si>
  <si>
    <t>$1.670</t>
  </si>
  <si>
    <t>$5.384</t>
  </si>
  <si>
    <t>$1.172</t>
  </si>
  <si>
    <t>$1.511</t>
  </si>
  <si>
    <t>$2.398</t>
  </si>
  <si>
    <t>$1.717</t>
  </si>
  <si>
    <t>$6.047</t>
  </si>
  <si>
    <t>$1.016</t>
  </si>
  <si>
    <t>$1.540</t>
  </si>
  <si>
    <t>$2.491</t>
  </si>
  <si>
    <t>$1.772</t>
  </si>
  <si>
    <t>$4.580</t>
  </si>
  <si>
    <t>$1.321</t>
  </si>
  <si>
    <t>$1.620</t>
  </si>
  <si>
    <t>$2.409</t>
  </si>
  <si>
    <t>$1.750</t>
  </si>
  <si>
    <t>$5.501</t>
  </si>
  <si>
    <t>$1.262</t>
  </si>
  <si>
    <t>$2.110</t>
  </si>
  <si>
    <t>$2.649</t>
  </si>
  <si>
    <t>$2.165</t>
  </si>
  <si>
    <t>$5.574</t>
  </si>
  <si>
    <t>$1.231</t>
  </si>
  <si>
    <t>$2.026</t>
  </si>
  <si>
    <t>$2.557</t>
  </si>
  <si>
    <t>$2.234</t>
  </si>
  <si>
    <t>$6.821</t>
  </si>
  <si>
    <t>$1.333</t>
  </si>
  <si>
    <t>$2.065</t>
  </si>
  <si>
    <t>$2.763</t>
  </si>
  <si>
    <t>$1.669</t>
  </si>
  <si>
    <t>$2.352</t>
  </si>
  <si>
    <t>$5.946</t>
  </si>
  <si>
    <t>$1.426</t>
  </si>
  <si>
    <t>$2.086</t>
  </si>
  <si>
    <t>$2.675</t>
  </si>
  <si>
    <t>$2.338</t>
  </si>
  <si>
    <t>$2.321</t>
  </si>
  <si>
    <t>$6.371</t>
  </si>
  <si>
    <t>$1.464</t>
  </si>
  <si>
    <t>$2.071</t>
  </si>
  <si>
    <t>$2.829</t>
  </si>
  <si>
    <t>$2.386</t>
  </si>
  <si>
    <t>$2.404</t>
  </si>
  <si>
    <t>$6.377</t>
  </si>
  <si>
    <t>$1.453</t>
  </si>
  <si>
    <t>$2.048</t>
  </si>
  <si>
    <t>$2.750</t>
  </si>
  <si>
    <t>$2.401</t>
  </si>
  <si>
    <t>$2.426</t>
  </si>
  <si>
    <t>$7.221</t>
  </si>
  <si>
    <t>$1.658</t>
  </si>
  <si>
    <t>$2.152</t>
  </si>
  <si>
    <t>$3.009</t>
  </si>
  <si>
    <t>$1.074</t>
  </si>
  <si>
    <t>$2.621</t>
  </si>
  <si>
    <t>$2.569</t>
  </si>
  <si>
    <t>$6.766</t>
  </si>
  <si>
    <t>$1.634</t>
  </si>
  <si>
    <t>$2.046</t>
  </si>
  <si>
    <t>$2.877</t>
  </si>
  <si>
    <t>$1.059</t>
  </si>
  <si>
    <t>$2.554</t>
  </si>
  <si>
    <t>$2.512</t>
  </si>
  <si>
    <t>$7.314</t>
  </si>
  <si>
    <t>$1.713</t>
  </si>
  <si>
    <t>$2.024</t>
  </si>
  <si>
    <t>$3.189</t>
  </si>
  <si>
    <t>$1.080</t>
  </si>
  <si>
    <t>$1.000</t>
  </si>
  <si>
    <t>$2.710</t>
  </si>
  <si>
    <t>$2.665</t>
  </si>
  <si>
    <t>$7.498</t>
  </si>
  <si>
    <t>$1.653</t>
  </si>
  <si>
    <t>$1.978</t>
  </si>
  <si>
    <t>$3.151</t>
  </si>
  <si>
    <t>$2.588</t>
  </si>
  <si>
    <t>$2.713</t>
  </si>
  <si>
    <t>$7.950</t>
  </si>
  <si>
    <t>$1.718</t>
  </si>
  <si>
    <t>$2.002</t>
  </si>
  <si>
    <t>$3.131</t>
  </si>
  <si>
    <t>$1.030</t>
  </si>
  <si>
    <t>$2.646</t>
  </si>
  <si>
    <t>$2.722</t>
  </si>
  <si>
    <t>$6.718</t>
  </si>
  <si>
    <t>$1.601</t>
  </si>
  <si>
    <t>$2.010</t>
  </si>
  <si>
    <t>$2.824</t>
  </si>
  <si>
    <t>$2.255</t>
  </si>
  <si>
    <t>$2.560</t>
  </si>
  <si>
    <t>$7.495</t>
  </si>
  <si>
    <t>$2.074</t>
  </si>
  <si>
    <t>$3.123</t>
  </si>
  <si>
    <t>$1.020</t>
  </si>
  <si>
    <t>$2.484</t>
  </si>
  <si>
    <t>$2.764</t>
  </si>
  <si>
    <t>$7.761</t>
  </si>
  <si>
    <t>$2.025</t>
  </si>
  <si>
    <t>$3.145</t>
  </si>
  <si>
    <t>$2.889</t>
  </si>
  <si>
    <t>$8.790</t>
  </si>
  <si>
    <t>$1.834</t>
  </si>
  <si>
    <t>$2.079</t>
  </si>
  <si>
    <t>$3.470</t>
  </si>
  <si>
    <t>$1.107</t>
  </si>
  <si>
    <t>$1.066</t>
  </si>
  <si>
    <t>$2.641</t>
  </si>
  <si>
    <t>$3.035</t>
  </si>
  <si>
    <t>$7.698</t>
  </si>
  <si>
    <t>$1.799</t>
  </si>
  <si>
    <t>$1.960</t>
  </si>
  <si>
    <t>$2.927</t>
  </si>
  <si>
    <t>$1.063</t>
  </si>
  <si>
    <t>$2.627</t>
  </si>
  <si>
    <t>$2.882</t>
  </si>
  <si>
    <t>$8.826</t>
  </si>
  <si>
    <t>$1.758</t>
  </si>
  <si>
    <t>$1.928</t>
  </si>
  <si>
    <t>$3.194</t>
  </si>
  <si>
    <t>$1.058</t>
  </si>
  <si>
    <t>$2.596</t>
  </si>
  <si>
    <t>$2.946</t>
  </si>
  <si>
    <t>$8.675</t>
  </si>
  <si>
    <t>$1.768</t>
  </si>
  <si>
    <t>$1.916</t>
  </si>
  <si>
    <t>$3.224</t>
  </si>
  <si>
    <t>$2.629</t>
  </si>
  <si>
    <t>$3.058</t>
  </si>
  <si>
    <t>$9.968</t>
  </si>
  <si>
    <t>$1.995</t>
  </si>
  <si>
    <t>$3.498</t>
  </si>
  <si>
    <t>$1.135</t>
  </si>
  <si>
    <t>$1.067</t>
  </si>
  <si>
    <t>$2.542</t>
  </si>
  <si>
    <t>$3.167</t>
  </si>
  <si>
    <t>$9.041</t>
  </si>
  <si>
    <t>$2.015</t>
  </si>
  <si>
    <t>$1.925</t>
  </si>
  <si>
    <t>$3.284</t>
  </si>
  <si>
    <t>$1.116</t>
  </si>
  <si>
    <t>$1.055</t>
  </si>
  <si>
    <t>$2.721</t>
  </si>
  <si>
    <t>$3.036</t>
  </si>
  <si>
    <t>$9.616</t>
  </si>
  <si>
    <t>$1.975</t>
  </si>
  <si>
    <t>$3.536</t>
  </si>
  <si>
    <t>$1.137</t>
  </si>
  <si>
    <t>$1.077</t>
  </si>
  <si>
    <t>$2.854</t>
  </si>
  <si>
    <t>$9.817</t>
  </si>
  <si>
    <t>$2.031</t>
  </si>
  <si>
    <t>$1.874</t>
  </si>
  <si>
    <t>$3.479</t>
  </si>
  <si>
    <t>$1.032</t>
  </si>
  <si>
    <t>$2.933</t>
  </si>
  <si>
    <t>$3.242</t>
  </si>
  <si>
    <t>$10.377</t>
  </si>
  <si>
    <t>$2.215</t>
  </si>
  <si>
    <t>$1.848</t>
  </si>
  <si>
    <t>$3.594</t>
  </si>
  <si>
    <t>$1.167</t>
  </si>
  <si>
    <t>$1.106</t>
  </si>
  <si>
    <t>$3.051</t>
  </si>
  <si>
    <t>$3.323</t>
  </si>
  <si>
    <t>$5.284</t>
  </si>
  <si>
    <t>$2.161</t>
  </si>
  <si>
    <t>$1.866</t>
  </si>
  <si>
    <t>$3.388</t>
  </si>
  <si>
    <t>$1.141</t>
  </si>
  <si>
    <t>$1.079</t>
  </si>
  <si>
    <t>$3.057</t>
  </si>
  <si>
    <t>$3.249</t>
  </si>
  <si>
    <t>$5.313</t>
  </si>
  <si>
    <t>$2.106</t>
  </si>
  <si>
    <t>$1.828</t>
  </si>
  <si>
    <t>$3.572</t>
  </si>
  <si>
    <t>$1.125</t>
  </si>
  <si>
    <t>$1.029</t>
  </si>
  <si>
    <t>$3.108</t>
  </si>
  <si>
    <t>$3.428</t>
  </si>
  <si>
    <t>$5.265</t>
  </si>
  <si>
    <t>$2.052</t>
  </si>
  <si>
    <t>$1.735</t>
  </si>
  <si>
    <t>$3.477</t>
  </si>
  <si>
    <t>$1.026</t>
  </si>
  <si>
    <t>$3.086</t>
  </si>
  <si>
    <t>$3.418</t>
  </si>
  <si>
    <t>$3.188</t>
  </si>
  <si>
    <t>$1.820</t>
  </si>
  <si>
    <t>$3.499</t>
  </si>
  <si>
    <t>$1.181</t>
  </si>
  <si>
    <t>$3.259</t>
  </si>
  <si>
    <t>$5.378</t>
  </si>
  <si>
    <t>$2.190</t>
  </si>
  <si>
    <t>$1.761</t>
  </si>
  <si>
    <t>$3.448</t>
  </si>
  <si>
    <t>$1.139</t>
  </si>
  <si>
    <t>$1.075</t>
  </si>
  <si>
    <t>$3.192</t>
  </si>
  <si>
    <t>$3.464</t>
  </si>
  <si>
    <t>$5.446</t>
  </si>
  <si>
    <t>$2.212</t>
  </si>
  <si>
    <t>$1.809</t>
  </si>
  <si>
    <t>$3.669</t>
  </si>
  <si>
    <t>$1.170</t>
  </si>
  <si>
    <t>$3.240</t>
  </si>
  <si>
    <t>$3.613</t>
  </si>
  <si>
    <t>$4.825</t>
  </si>
  <si>
    <t>$2.151</t>
  </si>
  <si>
    <t>$3.710</t>
  </si>
  <si>
    <t>$1.027</t>
  </si>
  <si>
    <t>$3.666</t>
  </si>
  <si>
    <t>$2.468</t>
  </si>
  <si>
    <t>$1.838</t>
  </si>
  <si>
    <t>$4.322</t>
  </si>
  <si>
    <t>$1.241</t>
  </si>
  <si>
    <t>$1.175</t>
  </si>
  <si>
    <t>$3.467</t>
  </si>
  <si>
    <t>$3.867</t>
  </si>
  <si>
    <t>$4.755</t>
  </si>
  <si>
    <t>$2.305</t>
  </si>
  <si>
    <t>$1.774</t>
  </si>
  <si>
    <t>$3.848</t>
  </si>
  <si>
    <t>$1.162</t>
  </si>
  <si>
    <t>$1.073</t>
  </si>
  <si>
    <t>$3.904</t>
  </si>
  <si>
    <t>$3.564</t>
  </si>
  <si>
    <t>$5.057</t>
  </si>
  <si>
    <t>$2.363</t>
  </si>
  <si>
    <t>$1.873</t>
  </si>
  <si>
    <t>$4.154</t>
  </si>
  <si>
    <t>$1.183</t>
  </si>
  <si>
    <t>$1.147</t>
  </si>
  <si>
    <t>$3.835</t>
  </si>
  <si>
    <t>$5.079</t>
  </si>
  <si>
    <t>$2.389</t>
  </si>
  <si>
    <t>$1.846</t>
  </si>
  <si>
    <t>$2.709</t>
  </si>
  <si>
    <t>$1.148</t>
  </si>
  <si>
    <t>$4.171</t>
  </si>
  <si>
    <t>$4.113</t>
  </si>
  <si>
    <t>$5.356</t>
  </si>
  <si>
    <t>$2.618</t>
  </si>
  <si>
    <t>$1.887</t>
  </si>
  <si>
    <t>$2.789</t>
  </si>
  <si>
    <t>$1.223</t>
  </si>
  <si>
    <t>$1.249</t>
  </si>
  <si>
    <t>$4.493</t>
  </si>
  <si>
    <t>$4.320</t>
  </si>
  <si>
    <t>$4.897</t>
  </si>
  <si>
    <t>$2.379</t>
  </si>
  <si>
    <t>$2.403</t>
  </si>
  <si>
    <t>$1.134</t>
  </si>
  <si>
    <t>$3.919</t>
  </si>
  <si>
    <t>$3.960</t>
  </si>
  <si>
    <t>$5.170</t>
  </si>
  <si>
    <t>$2.432</t>
  </si>
  <si>
    <t>$1.843</t>
  </si>
  <si>
    <t>$2.475</t>
  </si>
  <si>
    <t>$1.168</t>
  </si>
  <si>
    <t>$4.271</t>
  </si>
  <si>
    <t>$4.199</t>
  </si>
  <si>
    <t>$5.150</t>
  </si>
  <si>
    <t>$2.420</t>
  </si>
  <si>
    <t>$1.888</t>
  </si>
  <si>
    <t>$2.487</t>
  </si>
  <si>
    <t>$1.762</t>
  </si>
  <si>
    <t>$4.123</t>
  </si>
  <si>
    <t>$4.231</t>
  </si>
  <si>
    <t>$5.188</t>
  </si>
  <si>
    <t>$2.715</t>
  </si>
  <si>
    <t>$2.603</t>
  </si>
  <si>
    <t>$1.934</t>
  </si>
  <si>
    <t>$4.652</t>
  </si>
  <si>
    <t>$4.348</t>
  </si>
  <si>
    <t>$4.885</t>
  </si>
  <si>
    <t>$2.495</t>
  </si>
  <si>
    <t>$1.964</t>
  </si>
  <si>
    <t>$2.375</t>
  </si>
  <si>
    <t>$1.904</t>
  </si>
  <si>
    <t>$4.295</t>
  </si>
  <si>
    <t>$4.205</t>
  </si>
  <si>
    <t>$5.333</t>
  </si>
  <si>
    <t>$2.840</t>
  </si>
  <si>
    <t>$2.126</t>
  </si>
  <si>
    <t>$2.585</t>
  </si>
  <si>
    <t>$4.535</t>
  </si>
  <si>
    <t>$4.420</t>
  </si>
  <si>
    <t>$5.302</t>
  </si>
  <si>
    <t>$2.833</t>
  </si>
  <si>
    <t>$2.105</t>
  </si>
  <si>
    <t>$2.558</t>
  </si>
  <si>
    <t>$1.833</t>
  </si>
  <si>
    <t>$4.491</t>
  </si>
  <si>
    <t>$4.598</t>
  </si>
  <si>
    <t>$3.157</t>
  </si>
  <si>
    <t>$2.191</t>
  </si>
  <si>
    <t>$2.645</t>
  </si>
  <si>
    <t>$1.998</t>
  </si>
  <si>
    <t>$4.953</t>
  </si>
  <si>
    <t>$4.687</t>
  </si>
  <si>
    <t>$6.335</t>
  </si>
  <si>
    <t>$2.955</t>
  </si>
  <si>
    <t>$2.160</t>
  </si>
  <si>
    <t>$1.972</t>
  </si>
  <si>
    <t>$4.765</t>
  </si>
  <si>
    <t>$4.847</t>
  </si>
  <si>
    <t>$6.637</t>
  </si>
  <si>
    <t>$3.012</t>
  </si>
  <si>
    <t>$2.257</t>
  </si>
  <si>
    <t>$2.605</t>
  </si>
  <si>
    <t>$1.950</t>
  </si>
  <si>
    <t>$4.990</t>
  </si>
  <si>
    <t>$4.919</t>
  </si>
  <si>
    <t>$6.829</t>
  </si>
  <si>
    <t>$3.006</t>
  </si>
  <si>
    <t>$2.222</t>
  </si>
  <si>
    <t>$2.707</t>
  </si>
  <si>
    <t>$1.813</t>
  </si>
  <si>
    <t>$5.116</t>
  </si>
  <si>
    <t>$5.096</t>
  </si>
  <si>
    <t>$7.589</t>
  </si>
  <si>
    <t>$3.471</t>
  </si>
  <si>
    <t>$2.774</t>
  </si>
  <si>
    <t>$2.068</t>
  </si>
  <si>
    <t>$5.239</t>
  </si>
  <si>
    <t>$3.241</t>
  </si>
  <si>
    <t>$2.677</t>
  </si>
  <si>
    <t>$2.018</t>
  </si>
  <si>
    <t>$5.853</t>
  </si>
  <si>
    <t>$4.887</t>
  </si>
  <si>
    <t>$7.767</t>
  </si>
  <si>
    <t>$3.322</t>
  </si>
  <si>
    <t>$2.490</t>
  </si>
  <si>
    <t>$2.842</t>
  </si>
  <si>
    <t>$2.008</t>
  </si>
  <si>
    <t>$6.078</t>
  </si>
  <si>
    <t>$5.025</t>
  </si>
  <si>
    <t>$7.656</t>
  </si>
  <si>
    <t>$2.393</t>
  </si>
  <si>
    <t>$2.767</t>
  </si>
  <si>
    <t>$1.837</t>
  </si>
  <si>
    <t>$5.920</t>
  </si>
  <si>
    <t>$4.718</t>
  </si>
  <si>
    <t>$7.765</t>
  </si>
  <si>
    <t>$3.796</t>
  </si>
  <si>
    <t>$2.561</t>
  </si>
  <si>
    <t>$2.841</t>
  </si>
  <si>
    <t>$6.507</t>
  </si>
  <si>
    <t>$1.047</t>
  </si>
  <si>
    <t>$4.912</t>
  </si>
  <si>
    <t>$7.535</t>
  </si>
  <si>
    <t>$3.516</t>
  </si>
  <si>
    <t>$2.493</t>
  </si>
  <si>
    <t>$2.632</t>
  </si>
  <si>
    <t>$1.976</t>
  </si>
  <si>
    <t>$6.125</t>
  </si>
  <si>
    <t>$4.694</t>
  </si>
  <si>
    <t>$7.979</t>
  </si>
  <si>
    <t>$3.650</t>
  </si>
  <si>
    <t>$2.631</t>
  </si>
  <si>
    <t>$1.989</t>
  </si>
  <si>
    <t>$6.316</t>
  </si>
  <si>
    <t>$1.099</t>
  </si>
  <si>
    <t>$1.087</t>
  </si>
  <si>
    <t>$4.884</t>
  </si>
  <si>
    <t>$8.076</t>
  </si>
  <si>
    <t>$3.587</t>
  </si>
  <si>
    <t>$2.851</t>
  </si>
  <si>
    <t>$1.892</t>
  </si>
  <si>
    <t>$6.272</t>
  </si>
  <si>
    <t>$1.128</t>
  </si>
  <si>
    <t>$1.094</t>
  </si>
  <si>
    <t>$4.914</t>
  </si>
  <si>
    <t>Periodo 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</si>
  <si>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</si>
  <si>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</si>
  <si>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</si>
  <si>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</si>
  <si>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</si>
  <si>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</si>
  <si>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</si>
  <si>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</si>
  <si>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</si>
  <si>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</si>
  <si>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</si>
  <si>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</si>
  <si>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</si>
  <si>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</si>
  <si>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</si>
  <si>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</si>
  <si>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</si>
  <si>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</si>
  <si>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</si>
  <si>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</si>
  <si>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</si>
  <si>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</si>
  <si>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</si>
  <si>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</si>
  <si>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</si>
  <si>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</si>
  <si>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</si>
  <si>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</si>
  <si>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</si>
  <si>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</si>
  <si>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</si>
  <si>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</si>
  <si>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</si>
  <si>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</si>
  <si>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</si>
  <si>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</si>
  <si>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</si>
  <si>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</si>
  <si>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</si>
  <si>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</si>
  <si>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</si>
  <si>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</si>
  <si>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</si>
  <si>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</si>
  <si>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</si>
  <si>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</si>
  <si>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</si>
  <si>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</si>
  <si>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</si>
  <si>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</si>
  <si>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</si>
  <si>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</si>
  <si>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</si>
  <si>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</si>
  <si>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</si>
  <si>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</si>
  <si>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</si>
  <si>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</si>
  <si>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</si>
  <si>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Suma de Thermo Fisher Scientific</t>
  </si>
  <si>
    <t>Suma de Intuitive Surgical</t>
  </si>
  <si>
    <t>Suma de Edward Lifescience</t>
  </si>
  <si>
    <t>Suma de IDEXX Lab</t>
  </si>
  <si>
    <t>Suma de Teleflex</t>
  </si>
  <si>
    <t>Suma de Varian Medical</t>
  </si>
  <si>
    <t>Suma de Masimo</t>
  </si>
  <si>
    <t>Suma de DexCom</t>
  </si>
  <si>
    <t>Suma de Hologic</t>
  </si>
  <si>
    <t>Total EU</t>
  </si>
  <si>
    <t xml:space="preserve"> Abbott Lab</t>
  </si>
  <si>
    <t xml:space="preserve"> Stryker</t>
  </si>
  <si>
    <t xml:space="preserve"> Boston Scientific</t>
  </si>
  <si>
    <t xml:space="preserve"> Baxter</t>
  </si>
  <si>
    <t xml:space="preserve"> Zimmer Biomet</t>
  </si>
  <si>
    <t xml:space="preserve"> ResMed</t>
  </si>
  <si>
    <t xml:space="preserve"> Masimo</t>
  </si>
  <si>
    <t xml:space="preserve"> DexCom</t>
  </si>
  <si>
    <t xml:space="preserve"> Hologic</t>
  </si>
  <si>
    <t xml:space="preserve"> Insulet</t>
  </si>
  <si>
    <t xml:space="preserve"> Bio-Rad Lab</t>
  </si>
  <si>
    <t xml:space="preserve"> Thermo Fisher Scientific</t>
  </si>
  <si>
    <t xml:space="preserve"> Intuitive Surgical</t>
  </si>
  <si>
    <t xml:space="preserve"> Edward Lifescience</t>
  </si>
  <si>
    <t xml:space="preserve"> IDEXX Lab</t>
  </si>
  <si>
    <t xml:space="preserve"> Teleflex</t>
  </si>
  <si>
    <t xml:space="preserve"> Varian Medical</t>
  </si>
  <si>
    <t>Total US</t>
  </si>
  <si>
    <t xml:space="preserve">  </t>
  </si>
  <si>
    <t>Q1</t>
  </si>
  <si>
    <t>Q2</t>
  </si>
  <si>
    <t>Q3</t>
  </si>
  <si>
    <t>Q4</t>
  </si>
  <si>
    <t>Total</t>
  </si>
  <si>
    <t>Suma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</si>
  <si>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</si>
  <si>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</si>
  <si>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</si>
  <si>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</si>
  <si>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</si>
  <si>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</si>
  <si>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</si>
  <si>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</si>
  <si>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</si>
  <si>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</si>
  <si>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</si>
  <si>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</si>
  <si>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</si>
  <si>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</si>
  <si>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</si>
  <si>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 xml:space="preserve">Periodo </t>
  </si>
  <si>
    <t xml:space="preserve"> Medtronic</t>
  </si>
  <si>
    <t xml:space="preserve"> Smith &amp; Nephew</t>
  </si>
  <si>
    <t xml:space="preserve"> Fresenius Medical Care</t>
  </si>
  <si>
    <t xml:space="preserve"> STERIS</t>
  </si>
  <si>
    <t>Media:</t>
  </si>
  <si>
    <t>Mediana:</t>
  </si>
  <si>
    <t xml:space="preserve">Q -YEAR 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</si>
  <si>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</si>
  <si>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</si>
  <si>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</si>
  <si>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</si>
  <si>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</si>
  <si>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</si>
  <si>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</si>
  <si>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</si>
  <si>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</si>
  <si>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</si>
  <si>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</si>
  <si>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</si>
  <si>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</si>
  <si>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</si>
  <si>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</si>
  <si>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</si>
  <si>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</si>
  <si>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</si>
  <si>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</si>
  <si>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</si>
  <si>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</si>
  <si>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</si>
  <si>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</si>
  <si>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Resultados de datos de probabilidad</t>
  </si>
  <si>
    <t>Percentil</t>
  </si>
  <si>
    <t>Tiempo</t>
  </si>
  <si>
    <t>Datos originales Yt</t>
  </si>
  <si>
    <t>Y atarsada un periodo Y t-1</t>
  </si>
  <si>
    <t>Y atarsada un periodo Y t-2</t>
  </si>
  <si>
    <t>Ȳ</t>
  </si>
  <si>
    <t>r1</t>
  </si>
  <si>
    <t>(Yt -Ȳ)</t>
  </si>
  <si>
    <t>(Yt-1 -Ȳ)</t>
  </si>
  <si>
    <t>-</t>
  </si>
  <si>
    <t>(Yt-1 -Ȳ)2</t>
  </si>
  <si>
    <t>(Yt -Ȳ)(Yt -1 -Ȳ)</t>
  </si>
  <si>
    <t>Y atarsada un periodo Y t-22</t>
  </si>
  <si>
    <t>r2</t>
  </si>
  <si>
    <t xml:space="preserve">(r1)al cuadrado </t>
  </si>
  <si>
    <t>Relacion directa</t>
  </si>
  <si>
    <t>Coficinete de correalacion</t>
  </si>
  <si>
    <t>Demanda Dt</t>
  </si>
  <si>
    <t>demanda desestacionalizada</t>
  </si>
  <si>
    <t>Pronostico Ft</t>
  </si>
  <si>
    <r>
      <t>Error E</t>
    </r>
    <r>
      <rPr>
        <b/>
        <sz val="9"/>
        <color theme="1"/>
        <rFont val="Aptos Narrow"/>
        <family val="2"/>
        <scheme val="minor"/>
      </rPr>
      <t>t</t>
    </r>
  </si>
  <si>
    <r>
      <t>Error absoluto A</t>
    </r>
    <r>
      <rPr>
        <b/>
        <sz val="9"/>
        <color theme="1"/>
        <rFont val="Aptos Narrow"/>
        <family val="2"/>
        <scheme val="minor"/>
      </rPr>
      <t>t</t>
    </r>
  </si>
  <si>
    <r>
      <t>Error cuadrático MSE</t>
    </r>
    <r>
      <rPr>
        <sz val="9"/>
        <color theme="1"/>
        <rFont val="Aptos Narrow"/>
        <family val="2"/>
        <scheme val="minor"/>
      </rPr>
      <t>t</t>
    </r>
  </si>
  <si>
    <t>MAD</t>
  </si>
  <si>
    <t>% Error</t>
  </si>
  <si>
    <t>MAPEt</t>
  </si>
  <si>
    <r>
      <t>TS</t>
    </r>
    <r>
      <rPr>
        <sz val="9"/>
        <color theme="1"/>
        <rFont val="Aptos Narrow"/>
        <family val="2"/>
        <scheme val="minor"/>
      </rPr>
      <t>t</t>
    </r>
  </si>
  <si>
    <t>Metodo</t>
  </si>
  <si>
    <t>MAPE</t>
  </si>
  <si>
    <t>Rango TS inf</t>
  </si>
  <si>
    <t>Rango TS sup</t>
  </si>
  <si>
    <t>Desv.Est</t>
  </si>
  <si>
    <t xml:space="preserve">Promedio Movil </t>
  </si>
  <si>
    <t>Nivel      Lt</t>
  </si>
  <si>
    <t>Error Et</t>
  </si>
  <si>
    <t>Error absoluto At</t>
  </si>
  <si>
    <t>Error cuadrático MSEt</t>
  </si>
  <si>
    <r>
      <t>MAPE</t>
    </r>
    <r>
      <rPr>
        <sz val="8"/>
        <color theme="1"/>
        <rFont val="Aptos Narrow"/>
        <family val="2"/>
        <scheme val="minor"/>
      </rPr>
      <t>t</t>
    </r>
  </si>
  <si>
    <r>
      <rPr>
        <b/>
        <sz val="11"/>
        <color theme="1"/>
        <rFont val="Aptos Narrow"/>
        <family val="2"/>
      </rPr>
      <t>α</t>
    </r>
    <r>
      <rPr>
        <b/>
        <sz val="11"/>
        <color theme="1"/>
        <rFont val="Calibri"/>
        <family val="2"/>
      </rPr>
      <t xml:space="preserve"> =</t>
    </r>
  </si>
  <si>
    <r>
      <t>T</t>
    </r>
    <r>
      <rPr>
        <sz val="9"/>
        <color theme="1"/>
        <rFont val="Aptos Narrow"/>
        <family val="2"/>
        <scheme val="minor"/>
      </rPr>
      <t>t</t>
    </r>
  </si>
  <si>
    <r>
      <t>Pronostico F</t>
    </r>
    <r>
      <rPr>
        <sz val="9"/>
        <color theme="1"/>
        <rFont val="Aptos Narrow"/>
        <family val="2"/>
        <scheme val="minor"/>
      </rPr>
      <t>t</t>
    </r>
  </si>
  <si>
    <t>año</t>
  </si>
  <si>
    <t>α</t>
  </si>
  <si>
    <t>β</t>
  </si>
  <si>
    <r>
      <t>Resultado D</t>
    </r>
    <r>
      <rPr>
        <b/>
        <sz val="9"/>
        <color theme="1"/>
        <rFont val="Aptos Narrow"/>
        <family val="2"/>
        <scheme val="minor"/>
      </rPr>
      <t>t</t>
    </r>
  </si>
  <si>
    <t>Resultado Dt</t>
  </si>
  <si>
    <t>Trimestre</t>
  </si>
  <si>
    <t>demanda desestacionalizada E.C 7.4</t>
  </si>
  <si>
    <t>factores
estacionales estimados E.C 7.5</t>
  </si>
  <si>
    <r>
      <t>S</t>
    </r>
    <r>
      <rPr>
        <sz val="9"/>
        <color theme="1"/>
        <rFont val="Aptos Narrow"/>
        <family val="2"/>
        <scheme val="minor"/>
      </rPr>
      <t>1</t>
    </r>
  </si>
  <si>
    <r>
      <t>F</t>
    </r>
    <r>
      <rPr>
        <sz val="9"/>
        <color theme="1"/>
        <rFont val="Aptos Narrow"/>
        <family val="2"/>
        <scheme val="minor"/>
      </rPr>
      <t>3</t>
    </r>
  </si>
  <si>
    <r>
      <t>S</t>
    </r>
    <r>
      <rPr>
        <sz val="9"/>
        <color theme="1"/>
        <rFont val="Aptos Narrow"/>
        <family val="2"/>
        <scheme val="minor"/>
      </rPr>
      <t>2</t>
    </r>
  </si>
  <si>
    <r>
      <t>F</t>
    </r>
    <r>
      <rPr>
        <sz val="9"/>
        <color theme="1"/>
        <rFont val="Aptos Narrow"/>
        <family val="2"/>
        <scheme val="minor"/>
      </rPr>
      <t>4</t>
    </r>
  </si>
  <si>
    <r>
      <t>S</t>
    </r>
    <r>
      <rPr>
        <sz val="9"/>
        <color theme="1"/>
        <rFont val="Aptos Narrow"/>
        <family val="2"/>
        <scheme val="minor"/>
      </rPr>
      <t>3</t>
    </r>
  </si>
  <si>
    <r>
      <t>F</t>
    </r>
    <r>
      <rPr>
        <sz val="9"/>
        <color theme="1"/>
        <rFont val="Aptos Narrow"/>
        <family val="2"/>
        <scheme val="minor"/>
      </rPr>
      <t>5</t>
    </r>
  </si>
  <si>
    <r>
      <t>S</t>
    </r>
    <r>
      <rPr>
        <sz val="9"/>
        <color theme="1"/>
        <rFont val="Aptos Narrow"/>
        <family val="2"/>
        <scheme val="minor"/>
      </rPr>
      <t>4</t>
    </r>
  </si>
  <si>
    <r>
      <t>F</t>
    </r>
    <r>
      <rPr>
        <sz val="9"/>
        <color theme="1"/>
        <rFont val="Aptos Narrow"/>
        <family val="2"/>
        <scheme val="minor"/>
      </rPr>
      <t>6</t>
    </r>
  </si>
  <si>
    <t xml:space="preserve">ESTIMACIONES DE ERROR DE LOS PRONOSTICOS </t>
  </si>
  <si>
    <t>Suavisacion Expo</t>
  </si>
  <si>
    <t>Holt</t>
  </si>
  <si>
    <r>
      <t>Demanda D</t>
    </r>
    <r>
      <rPr>
        <b/>
        <sz val="9"/>
        <color theme="1"/>
        <rFont val="Aptos Narrow"/>
        <family val="2"/>
        <scheme val="minor"/>
      </rPr>
      <t>t</t>
    </r>
  </si>
  <si>
    <t>Y hat</t>
  </si>
  <si>
    <r>
      <t>P</t>
    </r>
    <r>
      <rPr>
        <b/>
        <sz val="9"/>
        <color theme="1"/>
        <rFont val="Aptos Narrow"/>
        <family val="2"/>
        <scheme val="minor"/>
      </rPr>
      <t>t</t>
    </r>
    <r>
      <rPr>
        <b/>
        <sz val="11"/>
        <color theme="1"/>
        <rFont val="Aptos Narrow"/>
        <family val="2"/>
        <scheme val="minor"/>
      </rPr>
      <t>^2</t>
    </r>
  </si>
  <si>
    <t>Pt^2</t>
  </si>
  <si>
    <t>Polinomial grado 2</t>
  </si>
  <si>
    <t>Polinomial grado 3</t>
  </si>
  <si>
    <t>Pt^3</t>
  </si>
  <si>
    <t>TOTAL</t>
  </si>
  <si>
    <t>Suav Exp. Simple</t>
  </si>
  <si>
    <t>Polimial Cuadratica</t>
  </si>
  <si>
    <t xml:space="preserve">Polinomial Cubica 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</si>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</sst>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B/.&quot;#,##0.00"/>
    <numFmt numFmtId="165" formatCode="0.000"/>
    <numFmt numFmtId="166" formatCode="0.00000E+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Aptos Narrow"/>
      <family val="2"/>
    </font>
    <font>
      <sz val="11"/>
      <color rgb="FF92D050"/>
      <name val="Aptos Narrow"/>
      <family val="2"/>
      <scheme val="minor"/>
    </font>
    <font>
      <sz val="11"/>
      <color rgb="FFFFC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theme="9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4" fillId="2" borderId="3" xfId="0" applyFont="1" applyFill="1" applyBorder="1"/>
    <xf numFmtId="0" fontId="4" fillId="0" borderId="0" xfId="0" applyFont="1"/>
    <xf numFmtId="0" fontId="3" fillId="2" borderId="1" xfId="1" applyFill="1" applyBorder="1"/>
    <xf numFmtId="0" fontId="0" fillId="4" borderId="1" xfId="0" applyFill="1" applyBorder="1"/>
    <xf numFmtId="0" fontId="0" fillId="6" borderId="1" xfId="0" applyFill="1" applyBorder="1"/>
    <xf numFmtId="0" fontId="0" fillId="6" borderId="0" xfId="0" applyFill="1"/>
    <xf numFmtId="0" fontId="0" fillId="4" borderId="4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2" fillId="3" borderId="7" xfId="0" applyFont="1" applyFill="1" applyBorder="1"/>
    <xf numFmtId="0" fontId="4" fillId="2" borderId="1" xfId="0" applyFont="1" applyFill="1" applyBorder="1"/>
    <xf numFmtId="0" fontId="4" fillId="2" borderId="6" xfId="0" applyFont="1" applyFill="1" applyBorder="1"/>
    <xf numFmtId="0" fontId="5" fillId="6" borderId="5" xfId="0" applyFont="1" applyFill="1" applyBorder="1"/>
    <xf numFmtId="0" fontId="5" fillId="2" borderId="5" xfId="0" applyFont="1" applyFill="1" applyBorder="1"/>
    <xf numFmtId="0" fontId="5" fillId="3" borderId="5" xfId="0" applyFont="1" applyFill="1" applyBorder="1"/>
    <xf numFmtId="0" fontId="5" fillId="0" borderId="5" xfId="0" applyFont="1" applyBorder="1"/>
    <xf numFmtId="0" fontId="5" fillId="0" borderId="0" xfId="0" applyFont="1"/>
    <xf numFmtId="49" fontId="4" fillId="2" borderId="1" xfId="0" applyNumberFormat="1" applyFont="1" applyFill="1" applyBorder="1"/>
    <xf numFmtId="49" fontId="4" fillId="2" borderId="2" xfId="0" applyNumberFormat="1" applyFont="1" applyFill="1" applyBorder="1"/>
    <xf numFmtId="49" fontId="0" fillId="0" borderId="0" xfId="0" applyNumberFormat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164" fontId="5" fillId="3" borderId="5" xfId="0" applyNumberFormat="1" applyFont="1" applyFill="1" applyBorder="1"/>
    <xf numFmtId="164" fontId="5" fillId="2" borderId="5" xfId="0" applyNumberFormat="1" applyFont="1" applyFill="1" applyBorder="1"/>
    <xf numFmtId="164" fontId="5" fillId="0" borderId="5" xfId="0" applyNumberFormat="1" applyFont="1" applyBorder="1"/>
    <xf numFmtId="164" fontId="5" fillId="6" borderId="5" xfId="0" applyNumberFormat="1" applyFont="1" applyFill="1" applyBorder="1"/>
    <xf numFmtId="49" fontId="4" fillId="8" borderId="1" xfId="0" applyNumberFormat="1" applyFont="1" applyFill="1" applyBorder="1"/>
    <xf numFmtId="49" fontId="4" fillId="2" borderId="4" xfId="0" applyNumberFormat="1" applyFont="1" applyFill="1" applyBorder="1"/>
    <xf numFmtId="49" fontId="4" fillId="2" borderId="3" xfId="0" applyNumberFormat="1" applyFont="1" applyFill="1" applyBorder="1"/>
    <xf numFmtId="0" fontId="4" fillId="8" borderId="1" xfId="0" applyFont="1" applyFill="1" applyBorder="1"/>
    <xf numFmtId="0" fontId="4" fillId="2" borderId="4" xfId="0" applyFont="1" applyFill="1" applyBorder="1"/>
    <xf numFmtId="0" fontId="0" fillId="3" borderId="9" xfId="0" applyFill="1" applyBorder="1"/>
    <xf numFmtId="2" fontId="0" fillId="2" borderId="1" xfId="0" applyNumberFormat="1" applyFill="1" applyBorder="1"/>
    <xf numFmtId="2" fontId="0" fillId="5" borderId="1" xfId="0" applyNumberFormat="1" applyFill="1" applyBorder="1"/>
    <xf numFmtId="2" fontId="0" fillId="3" borderId="1" xfId="0" applyNumberFormat="1" applyFill="1" applyBorder="1"/>
    <xf numFmtId="2" fontId="0" fillId="0" borderId="1" xfId="0" applyNumberFormat="1" applyBorder="1"/>
    <xf numFmtId="2" fontId="0" fillId="4" borderId="1" xfId="0" applyNumberFormat="1" applyFill="1" applyBorder="1"/>
    <xf numFmtId="2" fontId="0" fillId="6" borderId="1" xfId="0" applyNumberFormat="1" applyFill="1" applyBorder="1"/>
    <xf numFmtId="2" fontId="0" fillId="2" borderId="6" xfId="0" applyNumberFormat="1" applyFill="1" applyBorder="1"/>
    <xf numFmtId="2" fontId="0" fillId="3" borderId="6" xfId="0" applyNumberFormat="1" applyFill="1" applyBorder="1"/>
    <xf numFmtId="2" fontId="0" fillId="4" borderId="6" xfId="0" applyNumberFormat="1" applyFill="1" applyBorder="1"/>
    <xf numFmtId="2" fontId="0" fillId="6" borderId="6" xfId="0" applyNumberFormat="1" applyFill="1" applyBorder="1"/>
    <xf numFmtId="2" fontId="0" fillId="0" borderId="6" xfId="0" applyNumberFormat="1" applyBorder="1"/>
    <xf numFmtId="0" fontId="2" fillId="3" borderId="8" xfId="0" applyFont="1" applyFill="1" applyBorder="1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0" applyNumberFormat="1"/>
    <xf numFmtId="0" fontId="2" fillId="3" borderId="0" xfId="0" applyFont="1" applyFill="1"/>
    <xf numFmtId="0" fontId="0" fillId="0" borderId="9" xfId="0" applyBorder="1"/>
    <xf numFmtId="0" fontId="1" fillId="7" borderId="7" xfId="0" applyFont="1" applyFill="1" applyBorder="1"/>
    <xf numFmtId="0" fontId="1" fillId="7" borderId="10" xfId="0" applyFont="1" applyFill="1" applyBorder="1"/>
    <xf numFmtId="0" fontId="1" fillId="7" borderId="9" xfId="0" applyFont="1" applyFill="1" applyBorder="1"/>
    <xf numFmtId="0" fontId="0" fillId="3" borderId="9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0" xfId="0" applyFont="1"/>
    <xf numFmtId="0" fontId="0" fillId="0" borderId="11" xfId="0" applyBorder="1"/>
    <xf numFmtId="0" fontId="7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centerContinuous"/>
    </xf>
    <xf numFmtId="0" fontId="0" fillId="3" borderId="13" xfId="0" applyFill="1" applyBorder="1"/>
    <xf numFmtId="0" fontId="0" fillId="0" borderId="13" xfId="0" applyBorder="1"/>
    <xf numFmtId="0" fontId="0" fillId="4" borderId="11" xfId="0" applyFill="1" applyBorder="1"/>
    <xf numFmtId="0" fontId="0" fillId="4" borderId="0" xfId="0" applyFill="1"/>
    <xf numFmtId="0" fontId="0" fillId="0" borderId="15" xfId="0" applyBorder="1"/>
    <xf numFmtId="0" fontId="2" fillId="0" borderId="15" xfId="0" applyFont="1" applyBorder="1"/>
    <xf numFmtId="0" fontId="2" fillId="9" borderId="15" xfId="0" applyFont="1" applyFill="1" applyBorder="1"/>
    <xf numFmtId="0" fontId="0" fillId="0" borderId="0" xfId="0" applyAlignment="1">
      <alignment wrapText="1"/>
    </xf>
    <xf numFmtId="0" fontId="1" fillId="7" borderId="13" xfId="0" applyFont="1" applyFill="1" applyBorder="1" applyAlignment="1">
      <alignment vertical="top"/>
    </xf>
    <xf numFmtId="0" fontId="1" fillId="7" borderId="9" xfId="0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quotePrefix="1"/>
    <xf numFmtId="0" fontId="0" fillId="3" borderId="16" xfId="0" applyFill="1" applyBorder="1"/>
    <xf numFmtId="0" fontId="0" fillId="3" borderId="8" xfId="0" applyFill="1" applyBorder="1" applyAlignment="1">
      <alignment horizontal="left"/>
    </xf>
    <xf numFmtId="2" fontId="0" fillId="0" borderId="15" xfId="0" applyNumberFormat="1" applyBorder="1"/>
    <xf numFmtId="0" fontId="0" fillId="3" borderId="14" xfId="0" applyFill="1" applyBorder="1"/>
    <xf numFmtId="0" fontId="0" fillId="0" borderId="14" xfId="0" applyBorder="1"/>
    <xf numFmtId="0" fontId="2" fillId="3" borderId="14" xfId="0" applyFont="1" applyFill="1" applyBorder="1"/>
    <xf numFmtId="0" fontId="2" fillId="3" borderId="9" xfId="0" applyFont="1" applyFill="1" applyBorder="1" applyAlignment="1">
      <alignment horizontal="left"/>
    </xf>
    <xf numFmtId="0" fontId="2" fillId="0" borderId="17" xfId="0" applyFont="1" applyBorder="1"/>
    <xf numFmtId="0" fontId="1" fillId="7" borderId="18" xfId="0" applyFont="1" applyFill="1" applyBorder="1" applyAlignment="1">
      <alignment vertical="top"/>
    </xf>
    <xf numFmtId="0" fontId="1" fillId="7" borderId="7" xfId="0" applyFont="1" applyFill="1" applyBorder="1" applyAlignment="1">
      <alignment vertical="top"/>
    </xf>
    <xf numFmtId="0" fontId="1" fillId="7" borderId="7" xfId="0" applyFont="1" applyFill="1" applyBorder="1" applyAlignment="1">
      <alignment vertical="top" wrapText="1"/>
    </xf>
    <xf numFmtId="2" fontId="0" fillId="0" borderId="0" xfId="0" applyNumberFormat="1" applyAlignment="1">
      <alignment wrapText="1"/>
    </xf>
    <xf numFmtId="0" fontId="9" fillId="0" borderId="15" xfId="0" applyFont="1" applyBorder="1"/>
    <xf numFmtId="0" fontId="0" fillId="10" borderId="19" xfId="0" applyFill="1" applyBorder="1"/>
    <xf numFmtId="0" fontId="0" fillId="10" borderId="19" xfId="0" applyFill="1" applyBorder="1" applyAlignment="1">
      <alignment horizontal="center" wrapText="1"/>
    </xf>
    <xf numFmtId="0" fontId="0" fillId="10" borderId="19" xfId="0" applyFill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" fontId="2" fillId="9" borderId="15" xfId="0" applyNumberFormat="1" applyFont="1" applyFill="1" applyBorder="1" applyAlignment="1">
      <alignment horizontal="center"/>
    </xf>
    <xf numFmtId="0" fontId="8" fillId="0" borderId="0" xfId="0" applyFont="1"/>
    <xf numFmtId="3" fontId="0" fillId="0" borderId="15" xfId="0" applyNumberFormat="1" applyBorder="1"/>
    <xf numFmtId="1" fontId="0" fillId="0" borderId="15" xfId="0" applyNumberFormat="1" applyBorder="1"/>
    <xf numFmtId="1" fontId="0" fillId="4" borderId="15" xfId="0" applyNumberFormat="1" applyFill="1" applyBorder="1"/>
    <xf numFmtId="0" fontId="13" fillId="0" borderId="15" xfId="0" applyFont="1" applyBorder="1"/>
    <xf numFmtId="0" fontId="0" fillId="10" borderId="20" xfId="0" applyFill="1" applyBorder="1"/>
    <xf numFmtId="0" fontId="0" fillId="10" borderId="21" xfId="0" applyFill="1" applyBorder="1"/>
    <xf numFmtId="0" fontId="0" fillId="3" borderId="22" xfId="0" applyFill="1" applyBorder="1"/>
    <xf numFmtId="0" fontId="0" fillId="0" borderId="23" xfId="0" applyBorder="1"/>
    <xf numFmtId="0" fontId="0" fillId="0" borderId="22" xfId="0" applyBorder="1"/>
    <xf numFmtId="0" fontId="0" fillId="3" borderId="15" xfId="0" applyFill="1" applyBorder="1"/>
    <xf numFmtId="0" fontId="0" fillId="3" borderId="19" xfId="0" applyFill="1" applyBorder="1"/>
    <xf numFmtId="0" fontId="0" fillId="3" borderId="24" xfId="0" applyFill="1" applyBorder="1"/>
    <xf numFmtId="0" fontId="5" fillId="0" borderId="15" xfId="0" applyFont="1" applyBorder="1" applyAlignment="1">
      <alignment horizontal="center"/>
    </xf>
    <xf numFmtId="166" fontId="0" fillId="0" borderId="15" xfId="0" applyNumberFormat="1" applyBorder="1"/>
    <xf numFmtId="2" fontId="0" fillId="0" borderId="23" xfId="0" applyNumberFormat="1" applyBorder="1"/>
    <xf numFmtId="0" fontId="8" fillId="0" borderId="15" xfId="0" applyFont="1" applyBorder="1" applyAlignment="1">
      <alignment horizontal="center"/>
    </xf>
    <xf numFmtId="0" fontId="2" fillId="3" borderId="15" xfId="0" applyFont="1" applyFill="1" applyBorder="1" applyAlignment="1">
      <alignment horizontal="center" wrapText="1"/>
    </xf>
    <xf numFmtId="0" fontId="14" fillId="0" borderId="15" xfId="0" applyFont="1" applyBorder="1"/>
    <xf numFmtId="0" fontId="2" fillId="3" borderId="25" xfId="0" applyFont="1" applyFill="1" applyBorder="1" applyAlignment="1">
      <alignment horizontal="center" wrapText="1"/>
    </xf>
    <xf numFmtId="0" fontId="8" fillId="0" borderId="15" xfId="0" applyFont="1" applyBorder="1"/>
    <xf numFmtId="0" fontId="0" fillId="4" borderId="15" xfId="0" applyFill="1" applyBorder="1"/>
    <xf numFmtId="0" fontId="0" fillId="10" borderId="15" xfId="0" applyFill="1" applyBorder="1"/>
    <xf numFmtId="0" fontId="0" fillId="10" borderId="19" xfId="0" applyFill="1" applyBorder="1" applyAlignment="1">
      <alignment wrapText="1"/>
    </xf>
    <xf numFmtId="1" fontId="8" fillId="0" borderId="15" xfId="0" applyNumberFormat="1" applyFont="1" applyBorder="1" applyAlignment="1">
      <alignment horizontal="center"/>
    </xf>
    <xf numFmtId="1" fontId="9" fillId="0" borderId="15" xfId="0" applyNumberFormat="1" applyFont="1" applyBorder="1" applyAlignment="1">
      <alignment horizontal="center"/>
    </xf>
    <xf numFmtId="1" fontId="0" fillId="4" borderId="15" xfId="0" applyNumberFormat="1" applyFill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 wrapText="1"/>
    </xf>
    <xf numFmtId="0" fontId="0" fillId="3" borderId="13" xfId="0" applyFill="1" applyBorder="1" applyAlignment="1">
      <alignment horizontal="left"/>
    </xf>
    <xf numFmtId="0" fontId="0" fillId="0" borderId="13" xfId="0" applyBorder="1" applyAlignment="1">
      <alignment horizontal="left"/>
    </xf>
    <xf numFmtId="1" fontId="15" fillId="0" borderId="15" xfId="0" applyNumberFormat="1" applyFont="1" applyBorder="1"/>
    <xf numFmtId="1" fontId="15" fillId="0" borderId="15" xfId="0" applyNumberFormat="1" applyFont="1" applyBorder="1" applyAlignment="1">
      <alignment horizontal="center"/>
    </xf>
    <xf numFmtId="0" fontId="3" fillId="0" borderId="0" xfId="1"/>
    <xf numFmtId="2" fontId="0" fillId="2" borderId="3" xfId="0" applyNumberFormat="1" applyFill="1" applyBorder="1"/>
    <xf numFmtId="2" fontId="0" fillId="2" borderId="4" xfId="0" applyNumberFormat="1" applyFill="1" applyBorder="1"/>
    <xf numFmtId="0" fontId="5" fillId="0" borderId="3" xfId="0" applyFont="1" applyBorder="1"/>
    <xf numFmtId="0" fontId="5" fillId="11" borderId="0" xfId="0" applyFont="1" applyFill="1"/>
    <xf numFmtId="2" fontId="8" fillId="0" borderId="15" xfId="0" applyNumberFormat="1" applyFont="1" applyBorder="1"/>
    <xf numFmtId="2" fontId="8" fillId="0" borderId="15" xfId="0" applyNumberFormat="1" applyFont="1" applyBorder="1" applyAlignment="1">
      <alignment horizontal="center"/>
    </xf>
    <xf numFmtId="0" fontId="16" fillId="0" borderId="0" xfId="0" applyFont="1"/>
    <xf numFmtId="0" fontId="2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288"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2" formatCode="0.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3" tint="0.74999237037263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74999237037263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general"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top" textRotation="0" indent="0" justifyLastLine="0" shrinkToFit="0" readingOrder="0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rgb="FF44B3E1"/>
        </left>
        <top style="thin">
          <color rgb="FF44B3E1"/>
        </top>
      </border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general"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2" formatCode="0.00"/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&quot;B/.&quot;#,##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microsoft.com/office/2017/10/relationships/person" Target="persons/perso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[Medical Device Companies.xlsx]Pivote UE!TablaDinámica27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'Pivote UE'!$B$4</c:f>
              <c:strCache>
                <c:ptCount val="1"/>
                <c:pt idx="0">
                  <c:v> Medtronic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'Pivote UE'!$A$5:$A$20</c:f>
              <c:strCache>
                <c:ptCount val="15"/>
                <c:pt idx="0">
                  <c:v> 2005</c:v>
                </c:pt>
                <c:pt idx="1">
                  <c:v> 2006</c:v>
                </c:pt>
                <c:pt idx="2">
                  <c:v> 2007</c:v>
                </c:pt>
                <c:pt idx="3">
                  <c:v> 2008</c:v>
                </c:pt>
                <c:pt idx="4">
                  <c:v> 2009</c:v>
                </c:pt>
                <c:pt idx="5">
                  <c:v> 2010</c:v>
                </c:pt>
                <c:pt idx="6">
                  <c:v> 2011</c:v>
                </c:pt>
                <c:pt idx="7">
                  <c:v> 2012</c:v>
                </c:pt>
                <c:pt idx="8">
                  <c:v> 2013</c:v>
                </c:pt>
                <c:pt idx="9">
                  <c:v> 2014</c:v>
                </c:pt>
                <c:pt idx="10">
                  <c:v> 2015</c:v>
                </c:pt>
                <c:pt idx="11">
                  <c:v> 2016</c:v>
                </c:pt>
                <c:pt idx="12">
                  <c:v> 2017</c:v>
                </c:pt>
                <c:pt idx="13">
                  <c:v> 2018</c:v>
                </c:pt>
                <c:pt idx="14">
                  <c:v> 2019</c:v>
                </c:pt>
              </c:strCache>
            </c:strRef>
          </c:cat>
          <c:val>
            <c:numRef>
              <c:f>'Pivote UE'!$B$5:$B$20</c:f>
              <c:numCache>
                <c:formatCode>General</c:formatCode>
                <c:ptCount val="15"/>
                <c:pt idx="0">
                  <c:v>10.764000000000001</c:v>
                </c:pt>
                <c:pt idx="1">
                  <c:v>11.809000000000001</c:v>
                </c:pt>
                <c:pt idx="2">
                  <c:v>12.578000000000001</c:v>
                </c:pt>
                <c:pt idx="3">
                  <c:v>14.54</c:v>
                </c:pt>
                <c:pt idx="4">
                  <c:v>15.094000000000001</c:v>
                </c:pt>
                <c:pt idx="5">
                  <c:v>15.297000000000001</c:v>
                </c:pt>
                <c:pt idx="6">
                  <c:v>15.801</c:v>
                </c:pt>
                <c:pt idx="7">
                  <c:v>16.317999999999998</c:v>
                </c:pt>
                <c:pt idx="8">
                  <c:v>16.763999999999999</c:v>
                </c:pt>
                <c:pt idx="9">
                  <c:v>17.367000000000001</c:v>
                </c:pt>
                <c:pt idx="10">
                  <c:v>25.954000000000001</c:v>
                </c:pt>
                <c:pt idx="11">
                  <c:v>29.012</c:v>
                </c:pt>
                <c:pt idx="12">
                  <c:v>29.639000000000003</c:v>
                </c:pt>
                <c:pt idx="13">
                  <c:v>30.378</c:v>
                </c:pt>
                <c:pt idx="14">
                  <c:v>23.185000000000002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37-4AF7-8A3B-818305A19DF2}"/>
            </c:ext>
          </c:extLst>
        </c:ser>
        <c:ser>
          <c:idx val="1"/>
          <c:order val="1"/>
          <c:tx>
            <c:strRef>
              <c:f>'Pivote UE'!$C$4</c:f>
              <c:strCache>
                <c:ptCount val="1"/>
                <c:pt idx="0">
                  <c:v> Smith &amp; Nephew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'Pivote UE'!$A$5:$A$20</c:f>
              <c:strCache>
                <c:ptCount val="15"/>
                <c:pt idx="0">
                  <c:v> 2005</c:v>
                </c:pt>
                <c:pt idx="1">
                  <c:v> 2006</c:v>
                </c:pt>
                <c:pt idx="2">
                  <c:v> 2007</c:v>
                </c:pt>
                <c:pt idx="3">
                  <c:v> 2008</c:v>
                </c:pt>
                <c:pt idx="4">
                  <c:v> 2009</c:v>
                </c:pt>
                <c:pt idx="5">
                  <c:v> 2010</c:v>
                </c:pt>
                <c:pt idx="6">
                  <c:v> 2011</c:v>
                </c:pt>
                <c:pt idx="7">
                  <c:v> 2012</c:v>
                </c:pt>
                <c:pt idx="8">
                  <c:v> 2013</c:v>
                </c:pt>
                <c:pt idx="9">
                  <c:v> 2014</c:v>
                </c:pt>
                <c:pt idx="10">
                  <c:v> 2015</c:v>
                </c:pt>
                <c:pt idx="11">
                  <c:v> 2016</c:v>
                </c:pt>
                <c:pt idx="12">
                  <c:v> 2017</c:v>
                </c:pt>
                <c:pt idx="13">
                  <c:v> 2018</c:v>
                </c:pt>
                <c:pt idx="14">
                  <c:v> 2019</c:v>
                </c:pt>
              </c:strCache>
            </c:strRef>
          </c:cat>
          <c:val>
            <c:numRef>
              <c:f>'Pivote UE'!$C$5:$C$20</c:f>
              <c:numCache>
                <c:formatCode>General</c:formatCode>
                <c:ptCount val="15"/>
                <c:pt idx="0">
                  <c:v>2559</c:v>
                </c:pt>
                <c:pt idx="1">
                  <c:v>2779</c:v>
                </c:pt>
                <c:pt idx="2">
                  <c:v>3369</c:v>
                </c:pt>
                <c:pt idx="3">
                  <c:v>2802</c:v>
                </c:pt>
                <c:pt idx="4">
                  <c:v>2707.0659999999998</c:v>
                </c:pt>
                <c:pt idx="5">
                  <c:v>2896.067</c:v>
                </c:pt>
                <c:pt idx="6">
                  <c:v>4.2699999999999996</c:v>
                </c:pt>
                <c:pt idx="7">
                  <c:v>955.18499999999995</c:v>
                </c:pt>
                <c:pt idx="8">
                  <c:v>4.351</c:v>
                </c:pt>
                <c:pt idx="9">
                  <c:v>4.6169999999999991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37-4AF7-8A3B-818305A19DF2}"/>
            </c:ext>
          </c:extLst>
        </c:ser>
        <c:ser>
          <c:idx val="2"/>
          <c:order val="2"/>
          <c:tx>
            <c:strRef>
              <c:f>'Pivote UE'!$D$4</c:f>
              <c:strCache>
                <c:ptCount val="1"/>
                <c:pt idx="0">
                  <c:v> Fresenius Medical Care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'Pivote UE'!$A$5:$A$20</c:f>
              <c:strCache>
                <c:ptCount val="15"/>
                <c:pt idx="0">
                  <c:v> 2005</c:v>
                </c:pt>
                <c:pt idx="1">
                  <c:v> 2006</c:v>
                </c:pt>
                <c:pt idx="2">
                  <c:v> 2007</c:v>
                </c:pt>
                <c:pt idx="3">
                  <c:v> 2008</c:v>
                </c:pt>
                <c:pt idx="4">
                  <c:v> 2009</c:v>
                </c:pt>
                <c:pt idx="5">
                  <c:v> 2010</c:v>
                </c:pt>
                <c:pt idx="6">
                  <c:v> 2011</c:v>
                </c:pt>
                <c:pt idx="7">
                  <c:v> 2012</c:v>
                </c:pt>
                <c:pt idx="8">
                  <c:v> 2013</c:v>
                </c:pt>
                <c:pt idx="9">
                  <c:v> 2014</c:v>
                </c:pt>
                <c:pt idx="10">
                  <c:v> 2015</c:v>
                </c:pt>
                <c:pt idx="11">
                  <c:v> 2016</c:v>
                </c:pt>
                <c:pt idx="12">
                  <c:v> 2017</c:v>
                </c:pt>
                <c:pt idx="13">
                  <c:v> 2018</c:v>
                </c:pt>
                <c:pt idx="14">
                  <c:v> 2019</c:v>
                </c:pt>
              </c:strCache>
            </c:strRef>
          </c:cat>
          <c:val>
            <c:numRef>
              <c:f>'Pivote UE'!$D$5:$D$20</c:f>
              <c:numCache>
                <c:formatCode>General</c:formatCode>
                <c:ptCount val="15"/>
                <c:pt idx="0">
                  <c:v>6.7680000000000007</c:v>
                </c:pt>
                <c:pt idx="1">
                  <c:v>8.5009999999999994</c:v>
                </c:pt>
                <c:pt idx="2">
                  <c:v>9.7199999999999989</c:v>
                </c:pt>
                <c:pt idx="3">
                  <c:v>10.612</c:v>
                </c:pt>
                <c:pt idx="4">
                  <c:v>11.247999999999999</c:v>
                </c:pt>
                <c:pt idx="5">
                  <c:v>12.052999999999999</c:v>
                </c:pt>
                <c:pt idx="6">
                  <c:v>12.795000000000002</c:v>
                </c:pt>
                <c:pt idx="7">
                  <c:v>13.800999999999998</c:v>
                </c:pt>
                <c:pt idx="8">
                  <c:v>14.61</c:v>
                </c:pt>
                <c:pt idx="9">
                  <c:v>15.832000000000001</c:v>
                </c:pt>
                <c:pt idx="10">
                  <c:v>16.738</c:v>
                </c:pt>
                <c:pt idx="11">
                  <c:v>17.91</c:v>
                </c:pt>
                <c:pt idx="12">
                  <c:v>20.100999999999999</c:v>
                </c:pt>
                <c:pt idx="13">
                  <c:v>19.541999999999998</c:v>
                </c:pt>
                <c:pt idx="14">
                  <c:v>14.491999999999999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37-4AF7-8A3B-818305A19DF2}"/>
            </c:ext>
          </c:extLst>
        </c:ser>
        <c:ser>
          <c:idx val="3"/>
          <c:order val="3"/>
          <c:tx>
            <c:strRef>
              <c:f>'Pivote UE'!$E$4</c:f>
              <c:strCache>
                <c:ptCount val="1"/>
                <c:pt idx="0">
                  <c:v> STERIS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'Pivote UE'!$A$5:$A$20</c:f>
              <c:strCache>
                <c:ptCount val="15"/>
                <c:pt idx="0">
                  <c:v> 2005</c:v>
                </c:pt>
                <c:pt idx="1">
                  <c:v> 2006</c:v>
                </c:pt>
                <c:pt idx="2">
                  <c:v> 2007</c:v>
                </c:pt>
                <c:pt idx="3">
                  <c:v> 2008</c:v>
                </c:pt>
                <c:pt idx="4">
                  <c:v> 2009</c:v>
                </c:pt>
                <c:pt idx="5">
                  <c:v> 2010</c:v>
                </c:pt>
                <c:pt idx="6">
                  <c:v> 2011</c:v>
                </c:pt>
                <c:pt idx="7">
                  <c:v> 2012</c:v>
                </c:pt>
                <c:pt idx="8">
                  <c:v> 2013</c:v>
                </c:pt>
                <c:pt idx="9">
                  <c:v> 2014</c:v>
                </c:pt>
                <c:pt idx="10">
                  <c:v> 2015</c:v>
                </c:pt>
                <c:pt idx="11">
                  <c:v> 2016</c:v>
                </c:pt>
                <c:pt idx="12">
                  <c:v> 2017</c:v>
                </c:pt>
                <c:pt idx="13">
                  <c:v> 2018</c:v>
                </c:pt>
                <c:pt idx="14">
                  <c:v> 2019</c:v>
                </c:pt>
              </c:strCache>
            </c:strRef>
          </c:cat>
          <c:val>
            <c:numRef>
              <c:f>'Pivote UE'!$E$5:$E$20</c:f>
              <c:numCache>
                <c:formatCode>General</c:formatCode>
                <c:ptCount val="15"/>
                <c:pt idx="0">
                  <c:v>1116</c:v>
                </c:pt>
                <c:pt idx="1">
                  <c:v>1179</c:v>
                </c:pt>
                <c:pt idx="2">
                  <c:v>1240</c:v>
                </c:pt>
                <c:pt idx="3">
                  <c:v>1329</c:v>
                </c:pt>
                <c:pt idx="4">
                  <c:v>1270</c:v>
                </c:pt>
                <c:pt idx="5">
                  <c:v>1161</c:v>
                </c:pt>
                <c:pt idx="6">
                  <c:v>1395</c:v>
                </c:pt>
                <c:pt idx="7">
                  <c:v>1463</c:v>
                </c:pt>
                <c:pt idx="8">
                  <c:v>1586</c:v>
                </c:pt>
                <c:pt idx="9">
                  <c:v>1814</c:v>
                </c:pt>
                <c:pt idx="10">
                  <c:v>2051</c:v>
                </c:pt>
                <c:pt idx="11">
                  <c:v>2621</c:v>
                </c:pt>
                <c:pt idx="12">
                  <c:v>2585</c:v>
                </c:pt>
                <c:pt idx="13">
                  <c:v>2730</c:v>
                </c:pt>
                <c:pt idx="14">
                  <c:v>2202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37-4AF7-8A3B-818305A19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942592"/>
        <c:axId val="912943072"/>
      </c:lineChart>
      <c:catAx>
        <c:axId val="91294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912943072"/>
        <c:crosses val="autoZero"/>
        <c:auto val="1"/>
        <c:lblAlgn val="ctr"/>
        <c:lblOffset val="100"/>
        <c:noMultiLvlLbl val="0"/>
      </c:catAx>
      <c:valAx>
        <c:axId val="91294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91294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[Medical Device Companies.xlsx]Pivote US!TablaDinámica40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'Pivote US'!$B$3</c:f>
              <c:strCache>
                <c:ptCount val="1"/>
                <c:pt idx="0">
                  <c:v> Abbott Lab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'Pivote US'!$A$4:$A$19</c:f>
              <c:strCache>
                <c:ptCount val="15"/>
                <c:pt idx="0">
                  <c:v> 2005</c:v>
                </c:pt>
                <c:pt idx="1">
                  <c:v> 2006</c:v>
                </c:pt>
                <c:pt idx="2">
                  <c:v> 2007</c:v>
                </c:pt>
                <c:pt idx="3">
                  <c:v> 2008</c:v>
                </c:pt>
                <c:pt idx="4">
                  <c:v> 2009</c:v>
                </c:pt>
                <c:pt idx="5">
                  <c:v> 2010</c:v>
                </c:pt>
                <c:pt idx="6">
                  <c:v> 2011</c:v>
                </c:pt>
                <c:pt idx="7">
                  <c:v> 2012</c:v>
                </c:pt>
                <c:pt idx="8">
                  <c:v> 2013</c:v>
                </c:pt>
                <c:pt idx="9">
                  <c:v> 2014</c:v>
                </c:pt>
                <c:pt idx="10">
                  <c:v> 2015</c:v>
                </c:pt>
                <c:pt idx="11">
                  <c:v> 2016</c:v>
                </c:pt>
                <c:pt idx="12">
                  <c:v> 2017</c:v>
                </c:pt>
                <c:pt idx="13">
                  <c:v> 2018</c:v>
                </c:pt>
                <c:pt idx="14">
                  <c:v> 2019</c:v>
                </c:pt>
              </c:strCache>
            </c:strRef>
          </c:cat>
          <c:val>
            <c:numRef>
              <c:f>'Pivote US'!$B$4:$B$19</c:f>
              <c:numCache>
                <c:formatCode>General</c:formatCode>
                <c:ptCount val="15"/>
                <c:pt idx="0">
                  <c:v>22.338000000000001</c:v>
                </c:pt>
                <c:pt idx="1">
                  <c:v>22.475999999999999</c:v>
                </c:pt>
                <c:pt idx="2">
                  <c:v>25.914999999999999</c:v>
                </c:pt>
                <c:pt idx="3">
                  <c:v>29.527999999999999</c:v>
                </c:pt>
                <c:pt idx="4">
                  <c:v>30.763999999999999</c:v>
                </c:pt>
                <c:pt idx="5">
                  <c:v>35.167000000000002</c:v>
                </c:pt>
                <c:pt idx="6">
                  <c:v>38.850999999999999</c:v>
                </c:pt>
                <c:pt idx="7">
                  <c:v>19.049999999999997</c:v>
                </c:pt>
                <c:pt idx="8">
                  <c:v>19.657</c:v>
                </c:pt>
                <c:pt idx="9">
                  <c:v>20.247</c:v>
                </c:pt>
                <c:pt idx="10">
                  <c:v>20.405000000000001</c:v>
                </c:pt>
                <c:pt idx="11">
                  <c:v>20.853000000000002</c:v>
                </c:pt>
                <c:pt idx="12">
                  <c:v>27.39</c:v>
                </c:pt>
                <c:pt idx="13">
                  <c:v>30.577999999999999</c:v>
                </c:pt>
                <c:pt idx="14">
                  <c:v>23.59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4-4137-B06B-CF12585AF01C}"/>
            </c:ext>
          </c:extLst>
        </c:ser>
        <c:ser>
          <c:idx val="1"/>
          <c:order val="1"/>
          <c:tx>
            <c:strRef>
              <c:f>'Pivote US'!$C$3</c:f>
              <c:strCache>
                <c:ptCount val="1"/>
                <c:pt idx="0">
                  <c:v> Stryker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'Pivote US'!$A$4:$A$19</c:f>
              <c:strCache>
                <c:ptCount val="15"/>
                <c:pt idx="0">
                  <c:v> 2005</c:v>
                </c:pt>
                <c:pt idx="1">
                  <c:v> 2006</c:v>
                </c:pt>
                <c:pt idx="2">
                  <c:v> 2007</c:v>
                </c:pt>
                <c:pt idx="3">
                  <c:v> 2008</c:v>
                </c:pt>
                <c:pt idx="4">
                  <c:v> 2009</c:v>
                </c:pt>
                <c:pt idx="5">
                  <c:v> 2010</c:v>
                </c:pt>
                <c:pt idx="6">
                  <c:v> 2011</c:v>
                </c:pt>
                <c:pt idx="7">
                  <c:v> 2012</c:v>
                </c:pt>
                <c:pt idx="8">
                  <c:v> 2013</c:v>
                </c:pt>
                <c:pt idx="9">
                  <c:v> 2014</c:v>
                </c:pt>
                <c:pt idx="10">
                  <c:v> 2015</c:v>
                </c:pt>
                <c:pt idx="11">
                  <c:v> 2016</c:v>
                </c:pt>
                <c:pt idx="12">
                  <c:v> 2017</c:v>
                </c:pt>
                <c:pt idx="13">
                  <c:v> 2018</c:v>
                </c:pt>
                <c:pt idx="14">
                  <c:v> 2019</c:v>
                </c:pt>
              </c:strCache>
            </c:strRef>
          </c:cat>
          <c:val>
            <c:numRef>
              <c:f>'Pivote US'!$C$4:$C$19</c:f>
              <c:numCache>
                <c:formatCode>General</c:formatCode>
                <c:ptCount val="15"/>
                <c:pt idx="0">
                  <c:v>4.6100000000000003</c:v>
                </c:pt>
                <c:pt idx="1">
                  <c:v>5.1470000000000002</c:v>
                </c:pt>
                <c:pt idx="2">
                  <c:v>6.0009999999999994</c:v>
                </c:pt>
                <c:pt idx="3">
                  <c:v>6.718</c:v>
                </c:pt>
                <c:pt idx="4">
                  <c:v>6.7219999999999995</c:v>
                </c:pt>
                <c:pt idx="5">
                  <c:v>7.32</c:v>
                </c:pt>
                <c:pt idx="6">
                  <c:v>8.3070000000000004</c:v>
                </c:pt>
                <c:pt idx="7">
                  <c:v>8.657</c:v>
                </c:pt>
                <c:pt idx="8">
                  <c:v>9.0210000000000008</c:v>
                </c:pt>
                <c:pt idx="9">
                  <c:v>9.6750000000000007</c:v>
                </c:pt>
                <c:pt idx="10">
                  <c:v>9.9459999999999997</c:v>
                </c:pt>
                <c:pt idx="11">
                  <c:v>11.324999999999999</c:v>
                </c:pt>
                <c:pt idx="12">
                  <c:v>12.444000000000001</c:v>
                </c:pt>
                <c:pt idx="13">
                  <c:v>13.600999999999999</c:v>
                </c:pt>
                <c:pt idx="14">
                  <c:v>10.753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4-4137-B06B-CF12585AF01C}"/>
            </c:ext>
          </c:extLst>
        </c:ser>
        <c:ser>
          <c:idx val="2"/>
          <c:order val="2"/>
          <c:tx>
            <c:strRef>
              <c:f>'Pivote US'!$D$3</c:f>
              <c:strCache>
                <c:ptCount val="1"/>
                <c:pt idx="0">
                  <c:v> Boston Scientific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'Pivote US'!$A$4:$A$19</c:f>
              <c:strCache>
                <c:ptCount val="15"/>
                <c:pt idx="0">
                  <c:v> 2005</c:v>
                </c:pt>
                <c:pt idx="1">
                  <c:v> 2006</c:v>
                </c:pt>
                <c:pt idx="2">
                  <c:v> 2007</c:v>
                </c:pt>
                <c:pt idx="3">
                  <c:v> 2008</c:v>
                </c:pt>
                <c:pt idx="4">
                  <c:v> 2009</c:v>
                </c:pt>
                <c:pt idx="5">
                  <c:v> 2010</c:v>
                </c:pt>
                <c:pt idx="6">
                  <c:v> 2011</c:v>
                </c:pt>
                <c:pt idx="7">
                  <c:v> 2012</c:v>
                </c:pt>
                <c:pt idx="8">
                  <c:v> 2013</c:v>
                </c:pt>
                <c:pt idx="9">
                  <c:v> 2014</c:v>
                </c:pt>
                <c:pt idx="10">
                  <c:v> 2015</c:v>
                </c:pt>
                <c:pt idx="11">
                  <c:v> 2016</c:v>
                </c:pt>
                <c:pt idx="12">
                  <c:v> 2017</c:v>
                </c:pt>
                <c:pt idx="13">
                  <c:v> 2018</c:v>
                </c:pt>
                <c:pt idx="14">
                  <c:v> 2019</c:v>
                </c:pt>
              </c:strCache>
            </c:strRef>
          </c:cat>
          <c:val>
            <c:numRef>
              <c:f>'Pivote US'!$D$4:$D$19</c:f>
              <c:numCache>
                <c:formatCode>General</c:formatCode>
                <c:ptCount val="15"/>
                <c:pt idx="0">
                  <c:v>6.2830000000000004</c:v>
                </c:pt>
                <c:pt idx="1">
                  <c:v>7.8209999999999997</c:v>
                </c:pt>
                <c:pt idx="2">
                  <c:v>8.3569999999999993</c:v>
                </c:pt>
                <c:pt idx="3">
                  <c:v>8.0500000000000007</c:v>
                </c:pt>
                <c:pt idx="4">
                  <c:v>8.1880000000000006</c:v>
                </c:pt>
                <c:pt idx="5">
                  <c:v>7.806</c:v>
                </c:pt>
                <c:pt idx="6">
                  <c:v>7.6220000000000008</c:v>
                </c:pt>
                <c:pt idx="7">
                  <c:v>7.2490000000000006</c:v>
                </c:pt>
                <c:pt idx="8">
                  <c:v>7.1429999999999998</c:v>
                </c:pt>
                <c:pt idx="9">
                  <c:v>7.3800000000000008</c:v>
                </c:pt>
                <c:pt idx="10">
                  <c:v>7.4769999999999994</c:v>
                </c:pt>
                <c:pt idx="11">
                  <c:v>8.3859999999999992</c:v>
                </c:pt>
                <c:pt idx="12">
                  <c:v>9.0479999999999983</c:v>
                </c:pt>
                <c:pt idx="13">
                  <c:v>9.8230000000000004</c:v>
                </c:pt>
                <c:pt idx="14">
                  <c:v>7.8309999999999995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4-4137-B06B-CF12585AF01C}"/>
            </c:ext>
          </c:extLst>
        </c:ser>
        <c:ser>
          <c:idx val="3"/>
          <c:order val="3"/>
          <c:tx>
            <c:strRef>
              <c:f>'Pivote US'!$E$3</c:f>
              <c:strCache>
                <c:ptCount val="1"/>
                <c:pt idx="0">
                  <c:v> Baxter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'Pivote US'!$A$4:$A$19</c:f>
              <c:strCache>
                <c:ptCount val="15"/>
                <c:pt idx="0">
                  <c:v> 2005</c:v>
                </c:pt>
                <c:pt idx="1">
                  <c:v> 2006</c:v>
                </c:pt>
                <c:pt idx="2">
                  <c:v> 2007</c:v>
                </c:pt>
                <c:pt idx="3">
                  <c:v> 2008</c:v>
                </c:pt>
                <c:pt idx="4">
                  <c:v> 2009</c:v>
                </c:pt>
                <c:pt idx="5">
                  <c:v> 2010</c:v>
                </c:pt>
                <c:pt idx="6">
                  <c:v> 2011</c:v>
                </c:pt>
                <c:pt idx="7">
                  <c:v> 2012</c:v>
                </c:pt>
                <c:pt idx="8">
                  <c:v> 2013</c:v>
                </c:pt>
                <c:pt idx="9">
                  <c:v> 2014</c:v>
                </c:pt>
                <c:pt idx="10">
                  <c:v> 2015</c:v>
                </c:pt>
                <c:pt idx="11">
                  <c:v> 2016</c:v>
                </c:pt>
                <c:pt idx="12">
                  <c:v> 2017</c:v>
                </c:pt>
                <c:pt idx="13">
                  <c:v> 2018</c:v>
                </c:pt>
                <c:pt idx="14">
                  <c:v> 2019</c:v>
                </c:pt>
              </c:strCache>
            </c:strRef>
          </c:cat>
          <c:val>
            <c:numRef>
              <c:f>'Pivote US'!$E$4:$E$19</c:f>
              <c:numCache>
                <c:formatCode>General</c:formatCode>
                <c:ptCount val="15"/>
                <c:pt idx="0">
                  <c:v>9.8490000000000002</c:v>
                </c:pt>
                <c:pt idx="1">
                  <c:v>10.378</c:v>
                </c:pt>
                <c:pt idx="2">
                  <c:v>11.263</c:v>
                </c:pt>
                <c:pt idx="3">
                  <c:v>12.347999999999999</c:v>
                </c:pt>
                <c:pt idx="4">
                  <c:v>12.562000000000001</c:v>
                </c:pt>
                <c:pt idx="5">
                  <c:v>12.843</c:v>
                </c:pt>
                <c:pt idx="6">
                  <c:v>13.892999999999999</c:v>
                </c:pt>
                <c:pt idx="7">
                  <c:v>13.936</c:v>
                </c:pt>
                <c:pt idx="8">
                  <c:v>15.149000000000001</c:v>
                </c:pt>
                <c:pt idx="9">
                  <c:v>13.499999999999998</c:v>
                </c:pt>
                <c:pt idx="10">
                  <c:v>9.968</c:v>
                </c:pt>
                <c:pt idx="11">
                  <c:v>10.163</c:v>
                </c:pt>
                <c:pt idx="12">
                  <c:v>10.561</c:v>
                </c:pt>
                <c:pt idx="13">
                  <c:v>11.126999999999999</c:v>
                </c:pt>
                <c:pt idx="14">
                  <c:v>8.3230000000000004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C4-4137-B06B-CF12585AF01C}"/>
            </c:ext>
          </c:extLst>
        </c:ser>
        <c:ser>
          <c:idx val="4"/>
          <c:order val="4"/>
          <c:tx>
            <c:strRef>
              <c:f>'Pivote US'!$F$3</c:f>
              <c:strCache>
                <c:ptCount val="1"/>
                <c:pt idx="0">
                  <c:v> Zimmer Biomet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'Pivote US'!$A$4:$A$19</c:f>
              <c:strCache>
                <c:ptCount val="15"/>
                <c:pt idx="0">
                  <c:v> 2005</c:v>
                </c:pt>
                <c:pt idx="1">
                  <c:v> 2006</c:v>
                </c:pt>
                <c:pt idx="2">
                  <c:v> 2007</c:v>
                </c:pt>
                <c:pt idx="3">
                  <c:v> 2008</c:v>
                </c:pt>
                <c:pt idx="4">
                  <c:v> 2009</c:v>
                </c:pt>
                <c:pt idx="5">
                  <c:v> 2010</c:v>
                </c:pt>
                <c:pt idx="6">
                  <c:v> 2011</c:v>
                </c:pt>
                <c:pt idx="7">
                  <c:v> 2012</c:v>
                </c:pt>
                <c:pt idx="8">
                  <c:v> 2013</c:v>
                </c:pt>
                <c:pt idx="9">
                  <c:v> 2014</c:v>
                </c:pt>
                <c:pt idx="10">
                  <c:v> 2015</c:v>
                </c:pt>
                <c:pt idx="11">
                  <c:v> 2016</c:v>
                </c:pt>
                <c:pt idx="12">
                  <c:v> 2017</c:v>
                </c:pt>
                <c:pt idx="13">
                  <c:v> 2018</c:v>
                </c:pt>
                <c:pt idx="14">
                  <c:v> 2019</c:v>
                </c:pt>
              </c:strCache>
            </c:strRef>
          </c:cat>
          <c:val>
            <c:numRef>
              <c:f>'Pivote US'!$F$4:$F$19</c:f>
              <c:numCache>
                <c:formatCode>General</c:formatCode>
                <c:ptCount val="15"/>
                <c:pt idx="0">
                  <c:v>3287</c:v>
                </c:pt>
                <c:pt idx="1">
                  <c:v>3496</c:v>
                </c:pt>
                <c:pt idx="2">
                  <c:v>2825.0740000000001</c:v>
                </c:pt>
                <c:pt idx="3">
                  <c:v>955.16899999999998</c:v>
                </c:pt>
                <c:pt idx="4">
                  <c:v>1971.127</c:v>
                </c:pt>
                <c:pt idx="5">
                  <c:v>968.25599999999997</c:v>
                </c:pt>
                <c:pt idx="6">
                  <c:v>4.452</c:v>
                </c:pt>
                <c:pt idx="7">
                  <c:v>4.4729999999999999</c:v>
                </c:pt>
                <c:pt idx="8">
                  <c:v>4.6240000000000006</c:v>
                </c:pt>
                <c:pt idx="9">
                  <c:v>4.6739999999999995</c:v>
                </c:pt>
                <c:pt idx="10">
                  <c:v>5.9980000000000002</c:v>
                </c:pt>
                <c:pt idx="11">
                  <c:v>7.6690000000000005</c:v>
                </c:pt>
                <c:pt idx="12">
                  <c:v>7.802999999999999</c:v>
                </c:pt>
                <c:pt idx="13">
                  <c:v>7.9339999999999993</c:v>
                </c:pt>
                <c:pt idx="14">
                  <c:v>5.8569999999999993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C4-4137-B06B-CF12585AF01C}"/>
            </c:ext>
          </c:extLst>
        </c:ser>
        <c:ser>
          <c:idx val="5"/>
          <c:order val="5"/>
          <c:tx>
            <c:strRef>
              <c:f>'Pivote US'!$G$3</c:f>
              <c:strCache>
                <c:ptCount val="1"/>
                <c:pt idx="0">
                  <c:v> ResMed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'Pivote US'!$A$4:$A$19</c:f>
              <c:strCache>
                <c:ptCount val="15"/>
                <c:pt idx="0">
                  <c:v> 2005</c:v>
                </c:pt>
                <c:pt idx="1">
                  <c:v> 2006</c:v>
                </c:pt>
                <c:pt idx="2">
                  <c:v> 2007</c:v>
                </c:pt>
                <c:pt idx="3">
                  <c:v> 2008</c:v>
                </c:pt>
                <c:pt idx="4">
                  <c:v> 2009</c:v>
                </c:pt>
                <c:pt idx="5">
                  <c:v> 2010</c:v>
                </c:pt>
                <c:pt idx="6">
                  <c:v> 2011</c:v>
                </c:pt>
                <c:pt idx="7">
                  <c:v> 2012</c:v>
                </c:pt>
                <c:pt idx="8">
                  <c:v> 2013</c:v>
                </c:pt>
                <c:pt idx="9">
                  <c:v> 2014</c:v>
                </c:pt>
                <c:pt idx="10">
                  <c:v> 2015</c:v>
                </c:pt>
                <c:pt idx="11">
                  <c:v> 2016</c:v>
                </c:pt>
                <c:pt idx="12">
                  <c:v> 2017</c:v>
                </c:pt>
                <c:pt idx="13">
                  <c:v> 2018</c:v>
                </c:pt>
                <c:pt idx="14">
                  <c:v> 2019</c:v>
                </c:pt>
              </c:strCache>
            </c:strRef>
          </c:cat>
          <c:val>
            <c:numRef>
              <c:f>'Pivote US'!$G$4:$G$19</c:f>
              <c:numCache>
                <c:formatCode>General</c:formatCode>
                <c:ptCount val="15"/>
                <c:pt idx="0">
                  <c:v>506</c:v>
                </c:pt>
                <c:pt idx="1">
                  <c:v>675</c:v>
                </c:pt>
                <c:pt idx="2">
                  <c:v>763</c:v>
                </c:pt>
                <c:pt idx="3">
                  <c:v>888</c:v>
                </c:pt>
                <c:pt idx="4">
                  <c:v>1002</c:v>
                </c:pt>
                <c:pt idx="5">
                  <c:v>1159</c:v>
                </c:pt>
                <c:pt idx="6">
                  <c:v>1303</c:v>
                </c:pt>
                <c:pt idx="7">
                  <c:v>1438</c:v>
                </c:pt>
                <c:pt idx="8">
                  <c:v>1541</c:v>
                </c:pt>
                <c:pt idx="9">
                  <c:v>1616</c:v>
                </c:pt>
                <c:pt idx="10">
                  <c:v>1742</c:v>
                </c:pt>
                <c:pt idx="11">
                  <c:v>1968</c:v>
                </c:pt>
                <c:pt idx="12">
                  <c:v>2196</c:v>
                </c:pt>
                <c:pt idx="13">
                  <c:v>2455</c:v>
                </c:pt>
                <c:pt idx="14">
                  <c:v>2048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C4-4137-B06B-CF12585AF01C}"/>
            </c:ext>
          </c:extLst>
        </c:ser>
        <c:ser>
          <c:idx val="6"/>
          <c:order val="6"/>
          <c:tx>
            <c:strRef>
              <c:f>'Pivote US'!$H$3</c:f>
              <c:strCache>
                <c:ptCount val="1"/>
                <c:pt idx="0">
                  <c:v> Masimo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'Pivote US'!$A$4:$A$19</c:f>
              <c:strCache>
                <c:ptCount val="15"/>
                <c:pt idx="0">
                  <c:v> 2005</c:v>
                </c:pt>
                <c:pt idx="1">
                  <c:v> 2006</c:v>
                </c:pt>
                <c:pt idx="2">
                  <c:v> 2007</c:v>
                </c:pt>
                <c:pt idx="3">
                  <c:v> 2008</c:v>
                </c:pt>
                <c:pt idx="4">
                  <c:v> 2009</c:v>
                </c:pt>
                <c:pt idx="5">
                  <c:v> 2010</c:v>
                </c:pt>
                <c:pt idx="6">
                  <c:v> 2011</c:v>
                </c:pt>
                <c:pt idx="7">
                  <c:v> 2012</c:v>
                </c:pt>
                <c:pt idx="8">
                  <c:v> 2013</c:v>
                </c:pt>
                <c:pt idx="9">
                  <c:v> 2014</c:v>
                </c:pt>
                <c:pt idx="10">
                  <c:v> 2015</c:v>
                </c:pt>
                <c:pt idx="11">
                  <c:v> 2016</c:v>
                </c:pt>
                <c:pt idx="12">
                  <c:v> 2017</c:v>
                </c:pt>
                <c:pt idx="13">
                  <c:v> 2018</c:v>
                </c:pt>
                <c:pt idx="14">
                  <c:v> 2019</c:v>
                </c:pt>
              </c:strCache>
            </c:strRef>
          </c:cat>
          <c:val>
            <c:numRef>
              <c:f>'Pivote US'!$H$4:$H$19</c:f>
              <c:numCache>
                <c:formatCode>General</c:formatCode>
                <c:ptCount val="15"/>
                <c:pt idx="0">
                  <c:v>0</c:v>
                </c:pt>
                <c:pt idx="1">
                  <c:v>114</c:v>
                </c:pt>
                <c:pt idx="2">
                  <c:v>256</c:v>
                </c:pt>
                <c:pt idx="3">
                  <c:v>307</c:v>
                </c:pt>
                <c:pt idx="4">
                  <c:v>349</c:v>
                </c:pt>
                <c:pt idx="5">
                  <c:v>406</c:v>
                </c:pt>
                <c:pt idx="6">
                  <c:v>439</c:v>
                </c:pt>
                <c:pt idx="7">
                  <c:v>493</c:v>
                </c:pt>
                <c:pt idx="8">
                  <c:v>546</c:v>
                </c:pt>
                <c:pt idx="9">
                  <c:v>587</c:v>
                </c:pt>
                <c:pt idx="10">
                  <c:v>631</c:v>
                </c:pt>
                <c:pt idx="11">
                  <c:v>713</c:v>
                </c:pt>
                <c:pt idx="12">
                  <c:v>790</c:v>
                </c:pt>
                <c:pt idx="13">
                  <c:v>859</c:v>
                </c:pt>
                <c:pt idx="14">
                  <c:v>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0C4-4137-B06B-CF12585AF01C}"/>
            </c:ext>
          </c:extLst>
        </c:ser>
        <c:ser>
          <c:idx val="7"/>
          <c:order val="7"/>
          <c:tx>
            <c:strRef>
              <c:f>'Pivote US'!$I$3</c:f>
              <c:strCache>
                <c:ptCount val="1"/>
                <c:pt idx="0">
                  <c:v> DexCom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'Pivote US'!$A$4:$A$19</c:f>
              <c:strCache>
                <c:ptCount val="15"/>
                <c:pt idx="0">
                  <c:v> 2005</c:v>
                </c:pt>
                <c:pt idx="1">
                  <c:v> 2006</c:v>
                </c:pt>
                <c:pt idx="2">
                  <c:v> 2007</c:v>
                </c:pt>
                <c:pt idx="3">
                  <c:v> 2008</c:v>
                </c:pt>
                <c:pt idx="4">
                  <c:v> 2009</c:v>
                </c:pt>
                <c:pt idx="5">
                  <c:v> 2010</c:v>
                </c:pt>
                <c:pt idx="6">
                  <c:v> 2011</c:v>
                </c:pt>
                <c:pt idx="7">
                  <c:v> 2012</c:v>
                </c:pt>
                <c:pt idx="8">
                  <c:v> 2013</c:v>
                </c:pt>
                <c:pt idx="9">
                  <c:v> 2014</c:v>
                </c:pt>
                <c:pt idx="10">
                  <c:v> 2015</c:v>
                </c:pt>
                <c:pt idx="11">
                  <c:v> 2016</c:v>
                </c:pt>
                <c:pt idx="12">
                  <c:v> 2017</c:v>
                </c:pt>
                <c:pt idx="13">
                  <c:v> 2018</c:v>
                </c:pt>
                <c:pt idx="14">
                  <c:v> 2019</c:v>
                </c:pt>
              </c:strCache>
            </c:strRef>
          </c:cat>
          <c:val>
            <c:numRef>
              <c:f>'Pivote US'!$I$4:$I$19</c:f>
              <c:numCache>
                <c:formatCode>General</c:formatCode>
                <c:ptCount val="15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29</c:v>
                </c:pt>
                <c:pt idx="5">
                  <c:v>50</c:v>
                </c:pt>
                <c:pt idx="6">
                  <c:v>75</c:v>
                </c:pt>
                <c:pt idx="7">
                  <c:v>99</c:v>
                </c:pt>
                <c:pt idx="8">
                  <c:v>161</c:v>
                </c:pt>
                <c:pt idx="9">
                  <c:v>259</c:v>
                </c:pt>
                <c:pt idx="10">
                  <c:v>402</c:v>
                </c:pt>
                <c:pt idx="11">
                  <c:v>573</c:v>
                </c:pt>
                <c:pt idx="12">
                  <c:v>719</c:v>
                </c:pt>
                <c:pt idx="13">
                  <c:v>1032</c:v>
                </c:pt>
                <c:pt idx="14">
                  <c:v>1013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0C4-4137-B06B-CF12585AF01C}"/>
            </c:ext>
          </c:extLst>
        </c:ser>
        <c:ser>
          <c:idx val="8"/>
          <c:order val="8"/>
          <c:tx>
            <c:strRef>
              <c:f>'Pivote US'!$J$3</c:f>
              <c:strCache>
                <c:ptCount val="1"/>
                <c:pt idx="0">
                  <c:v> Hologic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'Pivote US'!$A$4:$A$19</c:f>
              <c:strCache>
                <c:ptCount val="15"/>
                <c:pt idx="0">
                  <c:v> 2005</c:v>
                </c:pt>
                <c:pt idx="1">
                  <c:v> 2006</c:v>
                </c:pt>
                <c:pt idx="2">
                  <c:v> 2007</c:v>
                </c:pt>
                <c:pt idx="3">
                  <c:v> 2008</c:v>
                </c:pt>
                <c:pt idx="4">
                  <c:v> 2009</c:v>
                </c:pt>
                <c:pt idx="5">
                  <c:v> 2010</c:v>
                </c:pt>
                <c:pt idx="6">
                  <c:v> 2011</c:v>
                </c:pt>
                <c:pt idx="7">
                  <c:v> 2012</c:v>
                </c:pt>
                <c:pt idx="8">
                  <c:v> 2013</c:v>
                </c:pt>
                <c:pt idx="9">
                  <c:v> 2014</c:v>
                </c:pt>
                <c:pt idx="10">
                  <c:v> 2015</c:v>
                </c:pt>
                <c:pt idx="11">
                  <c:v> 2016</c:v>
                </c:pt>
                <c:pt idx="12">
                  <c:v> 2017</c:v>
                </c:pt>
                <c:pt idx="13">
                  <c:v> 2018</c:v>
                </c:pt>
                <c:pt idx="14">
                  <c:v> 2019</c:v>
                </c:pt>
              </c:strCache>
            </c:strRef>
          </c:cat>
          <c:val>
            <c:numRef>
              <c:f>'Pivote US'!$J$4:$J$19</c:f>
              <c:numCache>
                <c:formatCode>General</c:formatCode>
                <c:ptCount val="15"/>
                <c:pt idx="0">
                  <c:v>221</c:v>
                </c:pt>
                <c:pt idx="1">
                  <c:v>463</c:v>
                </c:pt>
                <c:pt idx="2">
                  <c:v>739</c:v>
                </c:pt>
                <c:pt idx="3">
                  <c:v>1674</c:v>
                </c:pt>
                <c:pt idx="4">
                  <c:v>1637</c:v>
                </c:pt>
                <c:pt idx="5">
                  <c:v>1679</c:v>
                </c:pt>
                <c:pt idx="6">
                  <c:v>1790</c:v>
                </c:pt>
                <c:pt idx="7">
                  <c:v>2002</c:v>
                </c:pt>
                <c:pt idx="8">
                  <c:v>2492</c:v>
                </c:pt>
                <c:pt idx="9">
                  <c:v>2532</c:v>
                </c:pt>
                <c:pt idx="10">
                  <c:v>2706</c:v>
                </c:pt>
                <c:pt idx="11">
                  <c:v>2832</c:v>
                </c:pt>
                <c:pt idx="12">
                  <c:v>3058</c:v>
                </c:pt>
                <c:pt idx="13">
                  <c:v>3218</c:v>
                </c:pt>
                <c:pt idx="14">
                  <c:v>2501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0C4-4137-B06B-CF12585AF01C}"/>
            </c:ext>
          </c:extLst>
        </c:ser>
        <c:ser>
          <c:idx val="9"/>
          <c:order val="9"/>
          <c:tx>
            <c:strRef>
              <c:f>'Pivote US'!$K$3</c:f>
              <c:strCache>
                <c:ptCount val="1"/>
                <c:pt idx="0">
                  <c:v> Insulet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'Pivote US'!$A$4:$A$19</c:f>
              <c:strCache>
                <c:ptCount val="15"/>
                <c:pt idx="0">
                  <c:v> 2005</c:v>
                </c:pt>
                <c:pt idx="1">
                  <c:v> 2006</c:v>
                </c:pt>
                <c:pt idx="2">
                  <c:v> 2007</c:v>
                </c:pt>
                <c:pt idx="3">
                  <c:v> 2008</c:v>
                </c:pt>
                <c:pt idx="4">
                  <c:v> 2009</c:v>
                </c:pt>
                <c:pt idx="5">
                  <c:v> 2010</c:v>
                </c:pt>
                <c:pt idx="6">
                  <c:v> 2011</c:v>
                </c:pt>
                <c:pt idx="7">
                  <c:v> 2012</c:v>
                </c:pt>
                <c:pt idx="8">
                  <c:v> 2013</c:v>
                </c:pt>
                <c:pt idx="9">
                  <c:v> 2014</c:v>
                </c:pt>
                <c:pt idx="10">
                  <c:v> 2015</c:v>
                </c:pt>
                <c:pt idx="11">
                  <c:v> 2016</c:v>
                </c:pt>
                <c:pt idx="12">
                  <c:v> 2017</c:v>
                </c:pt>
                <c:pt idx="13">
                  <c:v> 2018</c:v>
                </c:pt>
                <c:pt idx="14">
                  <c:v> 2019</c:v>
                </c:pt>
              </c:strCache>
            </c:strRef>
          </c:cat>
          <c:val>
            <c:numRef>
              <c:f>'Pivote US'!$K$4:$K$19</c:f>
              <c:numCache>
                <c:formatCode>General</c:formatCode>
                <c:ptCount val="15"/>
                <c:pt idx="0">
                  <c:v>0</c:v>
                </c:pt>
                <c:pt idx="1">
                  <c:v>4</c:v>
                </c:pt>
                <c:pt idx="2">
                  <c:v>13</c:v>
                </c:pt>
                <c:pt idx="3">
                  <c:v>36</c:v>
                </c:pt>
                <c:pt idx="4">
                  <c:v>66</c:v>
                </c:pt>
                <c:pt idx="5">
                  <c:v>97</c:v>
                </c:pt>
                <c:pt idx="6">
                  <c:v>152</c:v>
                </c:pt>
                <c:pt idx="7">
                  <c:v>212</c:v>
                </c:pt>
                <c:pt idx="8">
                  <c:v>247</c:v>
                </c:pt>
                <c:pt idx="9">
                  <c:v>231</c:v>
                </c:pt>
                <c:pt idx="10">
                  <c:v>264</c:v>
                </c:pt>
                <c:pt idx="11">
                  <c:v>367</c:v>
                </c:pt>
                <c:pt idx="12">
                  <c:v>465</c:v>
                </c:pt>
                <c:pt idx="13">
                  <c:v>564</c:v>
                </c:pt>
                <c:pt idx="14">
                  <c:v>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0C4-4137-B06B-CF12585AF01C}"/>
            </c:ext>
          </c:extLst>
        </c:ser>
        <c:ser>
          <c:idx val="10"/>
          <c:order val="10"/>
          <c:tx>
            <c:strRef>
              <c:f>'Pivote US'!$L$3</c:f>
              <c:strCache>
                <c:ptCount val="1"/>
                <c:pt idx="0">
                  <c:v> Bio-Rad Lab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'Pivote US'!$A$4:$A$19</c:f>
              <c:strCache>
                <c:ptCount val="15"/>
                <c:pt idx="0">
                  <c:v> 2005</c:v>
                </c:pt>
                <c:pt idx="1">
                  <c:v> 2006</c:v>
                </c:pt>
                <c:pt idx="2">
                  <c:v> 2007</c:v>
                </c:pt>
                <c:pt idx="3">
                  <c:v> 2008</c:v>
                </c:pt>
                <c:pt idx="4">
                  <c:v> 2009</c:v>
                </c:pt>
                <c:pt idx="5">
                  <c:v> 2010</c:v>
                </c:pt>
                <c:pt idx="6">
                  <c:v> 2011</c:v>
                </c:pt>
                <c:pt idx="7">
                  <c:v> 2012</c:v>
                </c:pt>
                <c:pt idx="8">
                  <c:v> 2013</c:v>
                </c:pt>
                <c:pt idx="9">
                  <c:v> 2014</c:v>
                </c:pt>
                <c:pt idx="10">
                  <c:v> 2015</c:v>
                </c:pt>
                <c:pt idx="11">
                  <c:v> 2016</c:v>
                </c:pt>
                <c:pt idx="12">
                  <c:v> 2017</c:v>
                </c:pt>
                <c:pt idx="13">
                  <c:v> 2018</c:v>
                </c:pt>
                <c:pt idx="14">
                  <c:v> 2019</c:v>
                </c:pt>
              </c:strCache>
            </c:strRef>
          </c:cat>
          <c:val>
            <c:numRef>
              <c:f>'Pivote US'!$L$4:$L$19</c:f>
              <c:numCache>
                <c:formatCode>General</c:formatCode>
                <c:ptCount val="15"/>
                <c:pt idx="0">
                  <c:v>1180</c:v>
                </c:pt>
                <c:pt idx="1">
                  <c:v>1274</c:v>
                </c:pt>
                <c:pt idx="2">
                  <c:v>1462</c:v>
                </c:pt>
                <c:pt idx="3">
                  <c:v>1764</c:v>
                </c:pt>
                <c:pt idx="4">
                  <c:v>1784</c:v>
                </c:pt>
                <c:pt idx="5">
                  <c:v>1928</c:v>
                </c:pt>
                <c:pt idx="6">
                  <c:v>2074</c:v>
                </c:pt>
                <c:pt idx="7">
                  <c:v>2069</c:v>
                </c:pt>
                <c:pt idx="8">
                  <c:v>2133</c:v>
                </c:pt>
                <c:pt idx="9">
                  <c:v>2175</c:v>
                </c:pt>
                <c:pt idx="10">
                  <c:v>2020</c:v>
                </c:pt>
                <c:pt idx="11">
                  <c:v>2068</c:v>
                </c:pt>
                <c:pt idx="12">
                  <c:v>2160</c:v>
                </c:pt>
                <c:pt idx="13">
                  <c:v>2290</c:v>
                </c:pt>
                <c:pt idx="14">
                  <c:v>1688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0C4-4137-B06B-CF12585AF01C}"/>
            </c:ext>
          </c:extLst>
        </c:ser>
        <c:ser>
          <c:idx val="11"/>
          <c:order val="11"/>
          <c:tx>
            <c:strRef>
              <c:f>'Pivote US'!$M$3</c:f>
              <c:strCache>
                <c:ptCount val="1"/>
                <c:pt idx="0">
                  <c:v> Thermo Fisher Scientific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'Pivote US'!$A$4:$A$19</c:f>
              <c:strCache>
                <c:ptCount val="15"/>
                <c:pt idx="0">
                  <c:v> 2005</c:v>
                </c:pt>
                <c:pt idx="1">
                  <c:v> 2006</c:v>
                </c:pt>
                <c:pt idx="2">
                  <c:v> 2007</c:v>
                </c:pt>
                <c:pt idx="3">
                  <c:v> 2008</c:v>
                </c:pt>
                <c:pt idx="4">
                  <c:v> 2009</c:v>
                </c:pt>
                <c:pt idx="5">
                  <c:v> 2010</c:v>
                </c:pt>
                <c:pt idx="6">
                  <c:v> 2011</c:v>
                </c:pt>
                <c:pt idx="7">
                  <c:v> 2012</c:v>
                </c:pt>
                <c:pt idx="8">
                  <c:v> 2013</c:v>
                </c:pt>
                <c:pt idx="9">
                  <c:v> 2014</c:v>
                </c:pt>
                <c:pt idx="10">
                  <c:v> 2015</c:v>
                </c:pt>
                <c:pt idx="11">
                  <c:v> 2016</c:v>
                </c:pt>
                <c:pt idx="12">
                  <c:v> 2017</c:v>
                </c:pt>
                <c:pt idx="13">
                  <c:v> 2018</c:v>
                </c:pt>
                <c:pt idx="14">
                  <c:v> 2019</c:v>
                </c:pt>
              </c:strCache>
            </c:strRef>
          </c:cat>
          <c:val>
            <c:numRef>
              <c:f>'Pivote US'!$M$4:$M$19</c:f>
              <c:numCache>
                <c:formatCode>General</c:formatCode>
                <c:ptCount val="15"/>
                <c:pt idx="0">
                  <c:v>2633</c:v>
                </c:pt>
                <c:pt idx="1">
                  <c:v>2124.6689999999999</c:v>
                </c:pt>
                <c:pt idx="2">
                  <c:v>9.7460000000000004</c:v>
                </c:pt>
                <c:pt idx="3">
                  <c:v>10.497999999999999</c:v>
                </c:pt>
                <c:pt idx="4">
                  <c:v>9.9109999999999996</c:v>
                </c:pt>
                <c:pt idx="5">
                  <c:v>10.394</c:v>
                </c:pt>
                <c:pt idx="6">
                  <c:v>11.558999999999999</c:v>
                </c:pt>
                <c:pt idx="7">
                  <c:v>12.51</c:v>
                </c:pt>
                <c:pt idx="8">
                  <c:v>13.091000000000001</c:v>
                </c:pt>
                <c:pt idx="9">
                  <c:v>16.89</c:v>
                </c:pt>
                <c:pt idx="10">
                  <c:v>16.965</c:v>
                </c:pt>
                <c:pt idx="11">
                  <c:v>18.274000000000001</c:v>
                </c:pt>
                <c:pt idx="12">
                  <c:v>20.917999999999999</c:v>
                </c:pt>
                <c:pt idx="13">
                  <c:v>24.357999999999997</c:v>
                </c:pt>
                <c:pt idx="14">
                  <c:v>18.713000000000001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0C4-4137-B06B-CF12585AF01C}"/>
            </c:ext>
          </c:extLst>
        </c:ser>
        <c:ser>
          <c:idx val="12"/>
          <c:order val="12"/>
          <c:tx>
            <c:strRef>
              <c:f>'Pivote US'!$N$3</c:f>
              <c:strCache>
                <c:ptCount val="1"/>
                <c:pt idx="0">
                  <c:v> Intuitive Surgical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'Pivote US'!$A$4:$A$19</c:f>
              <c:strCache>
                <c:ptCount val="15"/>
                <c:pt idx="0">
                  <c:v> 2005</c:v>
                </c:pt>
                <c:pt idx="1">
                  <c:v> 2006</c:v>
                </c:pt>
                <c:pt idx="2">
                  <c:v> 2007</c:v>
                </c:pt>
                <c:pt idx="3">
                  <c:v> 2008</c:v>
                </c:pt>
                <c:pt idx="4">
                  <c:v> 2009</c:v>
                </c:pt>
                <c:pt idx="5">
                  <c:v> 2010</c:v>
                </c:pt>
                <c:pt idx="6">
                  <c:v> 2011</c:v>
                </c:pt>
                <c:pt idx="7">
                  <c:v> 2012</c:v>
                </c:pt>
                <c:pt idx="8">
                  <c:v> 2013</c:v>
                </c:pt>
                <c:pt idx="9">
                  <c:v> 2014</c:v>
                </c:pt>
                <c:pt idx="10">
                  <c:v> 2015</c:v>
                </c:pt>
                <c:pt idx="11">
                  <c:v> 2016</c:v>
                </c:pt>
                <c:pt idx="12">
                  <c:v> 2017</c:v>
                </c:pt>
                <c:pt idx="13">
                  <c:v> 2018</c:v>
                </c:pt>
                <c:pt idx="14">
                  <c:v> 2019</c:v>
                </c:pt>
              </c:strCache>
            </c:strRef>
          </c:cat>
          <c:val>
            <c:numRef>
              <c:f>'Pivote US'!$N$4:$N$19</c:f>
              <c:numCache>
                <c:formatCode>General</c:formatCode>
                <c:ptCount val="15"/>
                <c:pt idx="0">
                  <c:v>228</c:v>
                </c:pt>
                <c:pt idx="1">
                  <c:v>373</c:v>
                </c:pt>
                <c:pt idx="2">
                  <c:v>600</c:v>
                </c:pt>
                <c:pt idx="3">
                  <c:v>875</c:v>
                </c:pt>
                <c:pt idx="4">
                  <c:v>1052</c:v>
                </c:pt>
                <c:pt idx="5">
                  <c:v>1413</c:v>
                </c:pt>
                <c:pt idx="6">
                  <c:v>1758</c:v>
                </c:pt>
                <c:pt idx="7">
                  <c:v>2179</c:v>
                </c:pt>
                <c:pt idx="8">
                  <c:v>2265</c:v>
                </c:pt>
                <c:pt idx="9">
                  <c:v>2132</c:v>
                </c:pt>
                <c:pt idx="10">
                  <c:v>2385</c:v>
                </c:pt>
                <c:pt idx="11">
                  <c:v>2707</c:v>
                </c:pt>
                <c:pt idx="12">
                  <c:v>3139</c:v>
                </c:pt>
                <c:pt idx="13">
                  <c:v>2679.047</c:v>
                </c:pt>
                <c:pt idx="14">
                  <c:v>976.22700000000009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0C4-4137-B06B-CF12585AF01C}"/>
            </c:ext>
          </c:extLst>
        </c:ser>
        <c:ser>
          <c:idx val="13"/>
          <c:order val="13"/>
          <c:tx>
            <c:strRef>
              <c:f>'Pivote US'!$O$3</c:f>
              <c:strCache>
                <c:ptCount val="1"/>
                <c:pt idx="0">
                  <c:v> Edward Lifescience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'Pivote US'!$A$4:$A$19</c:f>
              <c:strCache>
                <c:ptCount val="15"/>
                <c:pt idx="0">
                  <c:v> 2005</c:v>
                </c:pt>
                <c:pt idx="1">
                  <c:v> 2006</c:v>
                </c:pt>
                <c:pt idx="2">
                  <c:v> 2007</c:v>
                </c:pt>
                <c:pt idx="3">
                  <c:v> 2008</c:v>
                </c:pt>
                <c:pt idx="4">
                  <c:v> 2009</c:v>
                </c:pt>
                <c:pt idx="5">
                  <c:v> 2010</c:v>
                </c:pt>
                <c:pt idx="6">
                  <c:v> 2011</c:v>
                </c:pt>
                <c:pt idx="7">
                  <c:v> 2012</c:v>
                </c:pt>
                <c:pt idx="8">
                  <c:v> 2013</c:v>
                </c:pt>
                <c:pt idx="9">
                  <c:v> 2014</c:v>
                </c:pt>
                <c:pt idx="10">
                  <c:v> 2015</c:v>
                </c:pt>
                <c:pt idx="11">
                  <c:v> 2016</c:v>
                </c:pt>
                <c:pt idx="12">
                  <c:v> 2017</c:v>
                </c:pt>
                <c:pt idx="13">
                  <c:v> 2018</c:v>
                </c:pt>
                <c:pt idx="14">
                  <c:v> 2019</c:v>
                </c:pt>
              </c:strCache>
            </c:strRef>
          </c:cat>
          <c:val>
            <c:numRef>
              <c:f>'Pivote US'!$O$4:$O$19</c:f>
              <c:numCache>
                <c:formatCode>General</c:formatCode>
                <c:ptCount val="15"/>
                <c:pt idx="0">
                  <c:v>998</c:v>
                </c:pt>
                <c:pt idx="1">
                  <c:v>1037</c:v>
                </c:pt>
                <c:pt idx="2">
                  <c:v>1091</c:v>
                </c:pt>
                <c:pt idx="3">
                  <c:v>1239</c:v>
                </c:pt>
                <c:pt idx="4">
                  <c:v>1323</c:v>
                </c:pt>
                <c:pt idx="5">
                  <c:v>1447</c:v>
                </c:pt>
                <c:pt idx="6">
                  <c:v>1679</c:v>
                </c:pt>
                <c:pt idx="7">
                  <c:v>1900</c:v>
                </c:pt>
                <c:pt idx="8">
                  <c:v>2046</c:v>
                </c:pt>
                <c:pt idx="9">
                  <c:v>2322</c:v>
                </c:pt>
                <c:pt idx="10">
                  <c:v>2494</c:v>
                </c:pt>
                <c:pt idx="11">
                  <c:v>2963</c:v>
                </c:pt>
                <c:pt idx="12">
                  <c:v>3437</c:v>
                </c:pt>
                <c:pt idx="13">
                  <c:v>3724</c:v>
                </c:pt>
                <c:pt idx="14">
                  <c:v>995.18100000000004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0C4-4137-B06B-CF12585AF01C}"/>
            </c:ext>
          </c:extLst>
        </c:ser>
        <c:ser>
          <c:idx val="14"/>
          <c:order val="14"/>
          <c:tx>
            <c:strRef>
              <c:f>'Pivote US'!$P$3</c:f>
              <c:strCache>
                <c:ptCount val="1"/>
                <c:pt idx="0">
                  <c:v> IDEXX Lab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'Pivote US'!$A$4:$A$19</c:f>
              <c:strCache>
                <c:ptCount val="15"/>
                <c:pt idx="0">
                  <c:v> 2005</c:v>
                </c:pt>
                <c:pt idx="1">
                  <c:v> 2006</c:v>
                </c:pt>
                <c:pt idx="2">
                  <c:v> 2007</c:v>
                </c:pt>
                <c:pt idx="3">
                  <c:v> 2008</c:v>
                </c:pt>
                <c:pt idx="4">
                  <c:v> 2009</c:v>
                </c:pt>
                <c:pt idx="5">
                  <c:v> 2010</c:v>
                </c:pt>
                <c:pt idx="6">
                  <c:v> 2011</c:v>
                </c:pt>
                <c:pt idx="7">
                  <c:v> 2012</c:v>
                </c:pt>
                <c:pt idx="8">
                  <c:v> 2013</c:v>
                </c:pt>
                <c:pt idx="9">
                  <c:v> 2014</c:v>
                </c:pt>
                <c:pt idx="10">
                  <c:v> 2015</c:v>
                </c:pt>
                <c:pt idx="11">
                  <c:v> 2016</c:v>
                </c:pt>
                <c:pt idx="12">
                  <c:v> 2017</c:v>
                </c:pt>
                <c:pt idx="13">
                  <c:v> 2018</c:v>
                </c:pt>
                <c:pt idx="14">
                  <c:v> 2019</c:v>
                </c:pt>
              </c:strCache>
            </c:strRef>
          </c:cat>
          <c:val>
            <c:numRef>
              <c:f>'Pivote US'!$P$4:$P$19</c:f>
              <c:numCache>
                <c:formatCode>General</c:formatCode>
                <c:ptCount val="15"/>
                <c:pt idx="0">
                  <c:v>638</c:v>
                </c:pt>
                <c:pt idx="1">
                  <c:v>738</c:v>
                </c:pt>
                <c:pt idx="2">
                  <c:v>922</c:v>
                </c:pt>
                <c:pt idx="3">
                  <c:v>1024</c:v>
                </c:pt>
                <c:pt idx="4">
                  <c:v>1031</c:v>
                </c:pt>
                <c:pt idx="5">
                  <c:v>1104</c:v>
                </c:pt>
                <c:pt idx="6">
                  <c:v>1219</c:v>
                </c:pt>
                <c:pt idx="7">
                  <c:v>1294</c:v>
                </c:pt>
                <c:pt idx="8">
                  <c:v>1377</c:v>
                </c:pt>
                <c:pt idx="9">
                  <c:v>1486</c:v>
                </c:pt>
                <c:pt idx="10">
                  <c:v>1601</c:v>
                </c:pt>
                <c:pt idx="11">
                  <c:v>1776</c:v>
                </c:pt>
                <c:pt idx="12">
                  <c:v>1969</c:v>
                </c:pt>
                <c:pt idx="13">
                  <c:v>2213</c:v>
                </c:pt>
                <c:pt idx="14">
                  <c:v>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0C4-4137-B06B-CF12585AF01C}"/>
            </c:ext>
          </c:extLst>
        </c:ser>
        <c:ser>
          <c:idx val="15"/>
          <c:order val="15"/>
          <c:tx>
            <c:strRef>
              <c:f>'Pivote US'!$Q$3</c:f>
              <c:strCache>
                <c:ptCount val="1"/>
                <c:pt idx="0">
                  <c:v> Teleflex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'Pivote US'!$A$4:$A$19</c:f>
              <c:strCache>
                <c:ptCount val="15"/>
                <c:pt idx="0">
                  <c:v> 2005</c:v>
                </c:pt>
                <c:pt idx="1">
                  <c:v> 2006</c:v>
                </c:pt>
                <c:pt idx="2">
                  <c:v> 2007</c:v>
                </c:pt>
                <c:pt idx="3">
                  <c:v> 2008</c:v>
                </c:pt>
                <c:pt idx="4">
                  <c:v> 2009</c:v>
                </c:pt>
                <c:pt idx="5">
                  <c:v> 2010</c:v>
                </c:pt>
                <c:pt idx="6">
                  <c:v> 2011</c:v>
                </c:pt>
                <c:pt idx="7">
                  <c:v> 2012</c:v>
                </c:pt>
                <c:pt idx="8">
                  <c:v> 2013</c:v>
                </c:pt>
                <c:pt idx="9">
                  <c:v> 2014</c:v>
                </c:pt>
                <c:pt idx="10">
                  <c:v> 2015</c:v>
                </c:pt>
                <c:pt idx="11">
                  <c:v> 2016</c:v>
                </c:pt>
                <c:pt idx="12">
                  <c:v> 2017</c:v>
                </c:pt>
                <c:pt idx="13">
                  <c:v> 2018</c:v>
                </c:pt>
                <c:pt idx="14">
                  <c:v> 2019</c:v>
                </c:pt>
              </c:strCache>
            </c:strRef>
          </c:cat>
          <c:val>
            <c:numRef>
              <c:f>'Pivote US'!$Q$4:$Q$19</c:f>
              <c:numCache>
                <c:formatCode>General</c:formatCode>
                <c:ptCount val="15"/>
                <c:pt idx="0">
                  <c:v>2515</c:v>
                </c:pt>
                <c:pt idx="1">
                  <c:v>2305</c:v>
                </c:pt>
                <c:pt idx="2">
                  <c:v>1575</c:v>
                </c:pt>
                <c:pt idx="3">
                  <c:v>1912</c:v>
                </c:pt>
                <c:pt idx="4">
                  <c:v>1435</c:v>
                </c:pt>
                <c:pt idx="5">
                  <c:v>1397</c:v>
                </c:pt>
                <c:pt idx="6">
                  <c:v>1493</c:v>
                </c:pt>
                <c:pt idx="7">
                  <c:v>1551</c:v>
                </c:pt>
                <c:pt idx="8">
                  <c:v>1697</c:v>
                </c:pt>
                <c:pt idx="9">
                  <c:v>1840</c:v>
                </c:pt>
                <c:pt idx="10">
                  <c:v>1810</c:v>
                </c:pt>
                <c:pt idx="11">
                  <c:v>1869</c:v>
                </c:pt>
                <c:pt idx="12">
                  <c:v>2147</c:v>
                </c:pt>
                <c:pt idx="13">
                  <c:v>2449</c:v>
                </c:pt>
                <c:pt idx="14">
                  <c:v>1915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0C4-4137-B06B-CF12585AF01C}"/>
            </c:ext>
          </c:extLst>
        </c:ser>
        <c:ser>
          <c:idx val="16"/>
          <c:order val="16"/>
          <c:tx>
            <c:strRef>
              <c:f>'Pivote US'!$R$3</c:f>
              <c:strCache>
                <c:ptCount val="1"/>
                <c:pt idx="0">
                  <c:v> Varian Medical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'Pivote US'!$A$4:$A$19</c:f>
              <c:strCache>
                <c:ptCount val="15"/>
                <c:pt idx="0">
                  <c:v> 2005</c:v>
                </c:pt>
                <c:pt idx="1">
                  <c:v> 2006</c:v>
                </c:pt>
                <c:pt idx="2">
                  <c:v> 2007</c:v>
                </c:pt>
                <c:pt idx="3">
                  <c:v> 2008</c:v>
                </c:pt>
                <c:pt idx="4">
                  <c:v> 2009</c:v>
                </c:pt>
                <c:pt idx="5">
                  <c:v> 2010</c:v>
                </c:pt>
                <c:pt idx="6">
                  <c:v> 2011</c:v>
                </c:pt>
                <c:pt idx="7">
                  <c:v> 2012</c:v>
                </c:pt>
                <c:pt idx="8">
                  <c:v> 2013</c:v>
                </c:pt>
                <c:pt idx="9">
                  <c:v> 2014</c:v>
                </c:pt>
                <c:pt idx="10">
                  <c:v> 2015</c:v>
                </c:pt>
                <c:pt idx="11">
                  <c:v> 2016</c:v>
                </c:pt>
                <c:pt idx="12">
                  <c:v> 2017</c:v>
                </c:pt>
                <c:pt idx="13">
                  <c:v> 2018</c:v>
                </c:pt>
                <c:pt idx="14">
                  <c:v> 2019</c:v>
                </c:pt>
              </c:strCache>
            </c:strRef>
          </c:cat>
          <c:val>
            <c:numRef>
              <c:f>'Pivote US'!$R$4:$R$19</c:f>
              <c:numCache>
                <c:formatCode>General</c:formatCode>
                <c:ptCount val="15"/>
                <c:pt idx="0">
                  <c:v>1418</c:v>
                </c:pt>
                <c:pt idx="1">
                  <c:v>1652</c:v>
                </c:pt>
                <c:pt idx="2">
                  <c:v>1819</c:v>
                </c:pt>
                <c:pt idx="3">
                  <c:v>2127</c:v>
                </c:pt>
                <c:pt idx="4">
                  <c:v>2247</c:v>
                </c:pt>
                <c:pt idx="5">
                  <c:v>2396</c:v>
                </c:pt>
                <c:pt idx="6">
                  <c:v>2641</c:v>
                </c:pt>
                <c:pt idx="7">
                  <c:v>2859</c:v>
                </c:pt>
                <c:pt idx="8">
                  <c:v>2976</c:v>
                </c:pt>
                <c:pt idx="9">
                  <c:v>3077</c:v>
                </c:pt>
                <c:pt idx="10">
                  <c:v>2509</c:v>
                </c:pt>
                <c:pt idx="11">
                  <c:v>2439</c:v>
                </c:pt>
                <c:pt idx="12">
                  <c:v>2697</c:v>
                </c:pt>
                <c:pt idx="13">
                  <c:v>2982</c:v>
                </c:pt>
                <c:pt idx="14">
                  <c:v>2484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0C4-4137-B06B-CF12585AF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7695712"/>
        <c:axId val="937697152"/>
      </c:lineChart>
      <c:catAx>
        <c:axId val="93769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937697152"/>
        <c:crosses val="autoZero"/>
        <c:auto val="1"/>
        <c:lblAlgn val="ctr"/>
        <c:lblOffset val="100"/>
        <c:noMultiLvlLbl val="0"/>
      </c:catAx>
      <c:valAx>
        <c:axId val="9376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93769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'UE Años'!$B$1</c:f>
              <c:strCache>
                <c:ptCount val="1"/>
                <c:pt idx="0">
                  <c:v>Medtronic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1220975503062118"/>
                  <c:y val="-9.63021289005541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A"/>
                </a:p>
              </c:txPr>
            </c:trendlineLbl>
          </c:trendline>
          <c:xVal>
            <c:strRef>
              <c:f>'UE Años'!$A$2:$A$16</c:f>
              <c:strCache>
                <c:ptCount val="15"/>
                <c:pt idx="0">
                  <c:v> 2005</c:v>
                </c:pt>
                <c:pt idx="1">
                  <c:v> 2006</c:v>
                </c:pt>
                <c:pt idx="2">
                  <c:v> 2007</c:v>
                </c:pt>
                <c:pt idx="3">
                  <c:v> 2008</c:v>
                </c:pt>
                <c:pt idx="4">
                  <c:v> 2009</c:v>
                </c:pt>
                <c:pt idx="5">
                  <c:v> 2010</c:v>
                </c:pt>
                <c:pt idx="6">
                  <c:v> 2011</c:v>
                </c:pt>
                <c:pt idx="7">
                  <c:v> 2012</c:v>
                </c:pt>
                <c:pt idx="8">
                  <c:v> 2013</c:v>
                </c:pt>
                <c:pt idx="9">
                  <c:v> 2014</c:v>
                </c:pt>
                <c:pt idx="10">
                  <c:v> 2015</c:v>
                </c:pt>
                <c:pt idx="11">
                  <c:v> 2016</c:v>
                </c:pt>
                <c:pt idx="12">
                  <c:v> 2017</c:v>
                </c:pt>
                <c:pt idx="13">
                  <c:v> 2018</c:v>
                </c:pt>
                <c:pt idx="14">
                  <c:v> 2019</c:v>
                </c:pt>
              </c:strCache>
            </c:strRef>
          </c:xVal>
          <c:yVal>
            <c:numRef>
              <c:f>'UE Años'!$B$2:$B$16</c:f>
              <c:numCache>
                <c:formatCode>0.000</c:formatCode>
                <c:ptCount val="15"/>
                <c:pt idx="0">
                  <c:v>10.764000000000001</c:v>
                </c:pt>
                <c:pt idx="1">
                  <c:v>11.809000000000001</c:v>
                </c:pt>
                <c:pt idx="2">
                  <c:v>12.578000000000001</c:v>
                </c:pt>
                <c:pt idx="3">
                  <c:v>14.54</c:v>
                </c:pt>
                <c:pt idx="4">
                  <c:v>15.094000000000001</c:v>
                </c:pt>
                <c:pt idx="5">
                  <c:v>15.297000000000001</c:v>
                </c:pt>
                <c:pt idx="6">
                  <c:v>15.801</c:v>
                </c:pt>
                <c:pt idx="7">
                  <c:v>16.317999999999998</c:v>
                </c:pt>
                <c:pt idx="8">
                  <c:v>16.763999999999999</c:v>
                </c:pt>
                <c:pt idx="9">
                  <c:v>17.367000000000001</c:v>
                </c:pt>
                <c:pt idx="10">
                  <c:v>25.954000000000001</c:v>
                </c:pt>
                <c:pt idx="11">
                  <c:v>29.012</c:v>
                </c:pt>
                <c:pt idx="12">
                  <c:v>29.639000000000003</c:v>
                </c:pt>
                <c:pt idx="13">
                  <c:v>30.378</c:v>
                </c:pt>
                <c:pt idx="14">
                  <c:v>23.185000000000002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3C-475B-AF18-D05484F69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486656"/>
        <c:axId val="480487136"/>
      </c:scatterChart>
      <c:valAx>
        <c:axId val="4804866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80487136"/>
        <c:crosses val="autoZero"/>
        <c:crossBetween val="midCat"/>
      </c:valAx>
      <c:valAx>
        <c:axId val="48048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80486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'UE Años'!$C$1</c:f>
              <c:strCache>
                <c:ptCount val="1"/>
                <c:pt idx="0">
                  <c:v>Smith &amp; Nephew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1"/>
            <c:dispEq val="1"/>
            <c:trendlineLbl>
              <c:layout>
                <c:manualLayout>
                  <c:x val="0.40937642169728783"/>
                  <c:y val="-0.517149296083064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A"/>
                </a:p>
              </c:txPr>
            </c:trendlineLbl>
          </c:trendline>
          <c:xVal>
            <c:strRef>
              <c:f>'UE Años'!$A$2:$A$16</c:f>
              <c:strCache>
                <c:ptCount val="15"/>
                <c:pt idx="0">
                  <c:v> 2005</c:v>
                </c:pt>
                <c:pt idx="1">
                  <c:v> 2006</c:v>
                </c:pt>
                <c:pt idx="2">
                  <c:v> 2007</c:v>
                </c:pt>
                <c:pt idx="3">
                  <c:v> 2008</c:v>
                </c:pt>
                <c:pt idx="4">
                  <c:v> 2009</c:v>
                </c:pt>
                <c:pt idx="5">
                  <c:v> 2010</c:v>
                </c:pt>
                <c:pt idx="6">
                  <c:v> 2011</c:v>
                </c:pt>
                <c:pt idx="7">
                  <c:v> 2012</c:v>
                </c:pt>
                <c:pt idx="8">
                  <c:v> 2013</c:v>
                </c:pt>
                <c:pt idx="9">
                  <c:v> 2014</c:v>
                </c:pt>
                <c:pt idx="10">
                  <c:v> 2015</c:v>
                </c:pt>
                <c:pt idx="11">
                  <c:v> 2016</c:v>
                </c:pt>
                <c:pt idx="12">
                  <c:v> 2017</c:v>
                </c:pt>
                <c:pt idx="13">
                  <c:v> 2018</c:v>
                </c:pt>
                <c:pt idx="14">
                  <c:v> 2019</c:v>
                </c:pt>
              </c:strCache>
            </c:strRef>
          </c:xVal>
          <c:yVal>
            <c:numRef>
              <c:f>'UE Años'!$C$2:$C$16</c:f>
              <c:numCache>
                <c:formatCode>0.000</c:formatCode>
                <c:ptCount val="15"/>
                <c:pt idx="0">
                  <c:v>2559</c:v>
                </c:pt>
                <c:pt idx="1">
                  <c:v>2779</c:v>
                </c:pt>
                <c:pt idx="2">
                  <c:v>3369</c:v>
                </c:pt>
                <c:pt idx="3">
                  <c:v>2802</c:v>
                </c:pt>
                <c:pt idx="4">
                  <c:v>2707.0659999999998</c:v>
                </c:pt>
                <c:pt idx="5">
                  <c:v>2896.067</c:v>
                </c:pt>
                <c:pt idx="6">
                  <c:v>4.2699999999999996</c:v>
                </c:pt>
                <c:pt idx="7">
                  <c:v>955.18499999999995</c:v>
                </c:pt>
                <c:pt idx="8">
                  <c:v>4.351</c:v>
                </c:pt>
                <c:pt idx="9">
                  <c:v>4.6169999999999991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BD-4ABC-AF22-D2B275D29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219120"/>
        <c:axId val="666227280"/>
      </c:scatterChart>
      <c:valAx>
        <c:axId val="6662191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66227280"/>
        <c:crosses val="autoZero"/>
        <c:crossBetween val="midCat"/>
      </c:valAx>
      <c:valAx>
        <c:axId val="66622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6621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'UE Años'!$D$1</c:f>
              <c:strCache>
                <c:ptCount val="1"/>
                <c:pt idx="0">
                  <c:v>Fresenius Medical Care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0397125252047356"/>
                  <c:y val="-7.13985020165162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A"/>
                </a:p>
              </c:txPr>
            </c:trendlineLbl>
          </c:trendline>
          <c:xVal>
            <c:strRef>
              <c:f>'UE Años'!$A$2:$A$16</c:f>
              <c:strCache>
                <c:ptCount val="15"/>
                <c:pt idx="0">
                  <c:v> 2005</c:v>
                </c:pt>
                <c:pt idx="1">
                  <c:v> 2006</c:v>
                </c:pt>
                <c:pt idx="2">
                  <c:v> 2007</c:v>
                </c:pt>
                <c:pt idx="3">
                  <c:v> 2008</c:v>
                </c:pt>
                <c:pt idx="4">
                  <c:v> 2009</c:v>
                </c:pt>
                <c:pt idx="5">
                  <c:v> 2010</c:v>
                </c:pt>
                <c:pt idx="6">
                  <c:v> 2011</c:v>
                </c:pt>
                <c:pt idx="7">
                  <c:v> 2012</c:v>
                </c:pt>
                <c:pt idx="8">
                  <c:v> 2013</c:v>
                </c:pt>
                <c:pt idx="9">
                  <c:v> 2014</c:v>
                </c:pt>
                <c:pt idx="10">
                  <c:v> 2015</c:v>
                </c:pt>
                <c:pt idx="11">
                  <c:v> 2016</c:v>
                </c:pt>
                <c:pt idx="12">
                  <c:v> 2017</c:v>
                </c:pt>
                <c:pt idx="13">
                  <c:v> 2018</c:v>
                </c:pt>
                <c:pt idx="14">
                  <c:v> 2019</c:v>
                </c:pt>
              </c:strCache>
            </c:strRef>
          </c:xVal>
          <c:yVal>
            <c:numRef>
              <c:f>'UE Años'!$D$2:$D$16</c:f>
              <c:numCache>
                <c:formatCode>0.000</c:formatCode>
                <c:ptCount val="15"/>
                <c:pt idx="0">
                  <c:v>6.7680000000000007</c:v>
                </c:pt>
                <c:pt idx="1">
                  <c:v>8.5009999999999994</c:v>
                </c:pt>
                <c:pt idx="2">
                  <c:v>9.7199999999999989</c:v>
                </c:pt>
                <c:pt idx="3">
                  <c:v>10.612</c:v>
                </c:pt>
                <c:pt idx="4">
                  <c:v>11.247999999999999</c:v>
                </c:pt>
                <c:pt idx="5">
                  <c:v>12.052999999999999</c:v>
                </c:pt>
                <c:pt idx="6">
                  <c:v>12.795000000000002</c:v>
                </c:pt>
                <c:pt idx="7">
                  <c:v>13.800999999999998</c:v>
                </c:pt>
                <c:pt idx="8">
                  <c:v>14.61</c:v>
                </c:pt>
                <c:pt idx="9">
                  <c:v>15.832000000000001</c:v>
                </c:pt>
                <c:pt idx="10">
                  <c:v>16.738</c:v>
                </c:pt>
                <c:pt idx="11">
                  <c:v>17.91</c:v>
                </c:pt>
                <c:pt idx="12">
                  <c:v>20.100999999999999</c:v>
                </c:pt>
                <c:pt idx="13">
                  <c:v>19.541999999999998</c:v>
                </c:pt>
                <c:pt idx="14">
                  <c:v>14.491999999999999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33-4D46-A5A9-921D880E9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765008"/>
        <c:axId val="1047606336"/>
      </c:scatterChart>
      <c:valAx>
        <c:axId val="95276500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047606336"/>
        <c:crosses val="autoZero"/>
        <c:crossBetween val="midCat"/>
      </c:valAx>
      <c:valAx>
        <c:axId val="104760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952765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'UE Años'!$B$20</c:f>
              <c:strCache>
                <c:ptCount val="1"/>
                <c:pt idx="0">
                  <c:v>Total EU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xVal>
            <c:strRef>
              <c:f>'UE Años'!$A$21:$A$35</c:f>
              <c:strCache>
                <c:ptCount val="15"/>
                <c:pt idx="0">
                  <c:v> 2005</c:v>
                </c:pt>
                <c:pt idx="1">
                  <c:v> 2006</c:v>
                </c:pt>
                <c:pt idx="2">
                  <c:v> 2007</c:v>
                </c:pt>
                <c:pt idx="3">
                  <c:v> 2008</c:v>
                </c:pt>
                <c:pt idx="4">
                  <c:v> 2009</c:v>
                </c:pt>
                <c:pt idx="5">
                  <c:v> 2010</c:v>
                </c:pt>
                <c:pt idx="6">
                  <c:v> 2011</c:v>
                </c:pt>
                <c:pt idx="7">
                  <c:v> 2012</c:v>
                </c:pt>
                <c:pt idx="8">
                  <c:v> 2013</c:v>
                </c:pt>
                <c:pt idx="9">
                  <c:v> 2014</c:v>
                </c:pt>
                <c:pt idx="10">
                  <c:v> 2015</c:v>
                </c:pt>
                <c:pt idx="11">
                  <c:v> 2016</c:v>
                </c:pt>
                <c:pt idx="12">
                  <c:v> 2017</c:v>
                </c:pt>
                <c:pt idx="13">
                  <c:v> 2018</c:v>
                </c:pt>
                <c:pt idx="14">
                  <c:v> 2019</c:v>
                </c:pt>
              </c:strCache>
            </c:strRef>
          </c:xVal>
          <c:yVal>
            <c:numRef>
              <c:f>'UE Años'!$B$21:$B$35</c:f>
              <c:numCache>
                <c:formatCode>General</c:formatCode>
                <c:ptCount val="15"/>
                <c:pt idx="0">
                  <c:v>3692.5320000000002</c:v>
                </c:pt>
                <c:pt idx="1">
                  <c:v>3978.3100000000004</c:v>
                </c:pt>
                <c:pt idx="2">
                  <c:v>4631.2979999999998</c:v>
                </c:pt>
                <c:pt idx="3">
                  <c:v>4156.152</c:v>
                </c:pt>
                <c:pt idx="4">
                  <c:v>4003.4079999999999</c:v>
                </c:pt>
                <c:pt idx="5">
                  <c:v>4084.4169999999999</c:v>
                </c:pt>
                <c:pt idx="6">
                  <c:v>1427.866</c:v>
                </c:pt>
                <c:pt idx="7">
                  <c:v>2448.3040000000001</c:v>
                </c:pt>
                <c:pt idx="8">
                  <c:v>1621.7249999999999</c:v>
                </c:pt>
                <c:pt idx="9">
                  <c:v>1851.816</c:v>
                </c:pt>
                <c:pt idx="10">
                  <c:v>2093.692</c:v>
                </c:pt>
                <c:pt idx="11">
                  <c:v>2667.922</c:v>
                </c:pt>
                <c:pt idx="12">
                  <c:v>2634.74</c:v>
                </c:pt>
                <c:pt idx="13">
                  <c:v>2779.92</c:v>
                </c:pt>
                <c:pt idx="14">
                  <c:v>2239.6770000000001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F2-401B-8E4D-0E34B66DA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207376"/>
        <c:axId val="1056202096"/>
      </c:scatterChart>
      <c:valAx>
        <c:axId val="105620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056202096"/>
        <c:crosses val="autoZero"/>
        <c:crossBetween val="midCat"/>
      </c:valAx>
      <c:valAx>
        <c:axId val="105620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056207376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'UE Años'!$D$1</c:f>
              <c:strCache>
                <c:ptCount val="1"/>
                <c:pt idx="0">
                  <c:v>Fresenius Medical Care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6805380577427824"/>
                  <c:y val="-0.12098024205307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A"/>
                </a:p>
              </c:txPr>
            </c:trendlineLbl>
          </c:trendline>
          <c:xVal>
            <c:strRef>
              <c:f>('UE Años'!$A$2,'UE Años'!$A$3:$A$16)</c:f>
              <c:strCache>
                <c:ptCount val="15"/>
                <c:pt idx="0">
                  <c:v> 2005</c:v>
                </c:pt>
                <c:pt idx="1">
                  <c:v> 2006</c:v>
                </c:pt>
                <c:pt idx="2">
                  <c:v> 2007</c:v>
                </c:pt>
                <c:pt idx="3">
                  <c:v> 2008</c:v>
                </c:pt>
                <c:pt idx="4">
                  <c:v> 2009</c:v>
                </c:pt>
                <c:pt idx="5">
                  <c:v> 2010</c:v>
                </c:pt>
                <c:pt idx="6">
                  <c:v> 2011</c:v>
                </c:pt>
                <c:pt idx="7">
                  <c:v> 2012</c:v>
                </c:pt>
                <c:pt idx="8">
                  <c:v> 2013</c:v>
                </c:pt>
                <c:pt idx="9">
                  <c:v> 2014</c:v>
                </c:pt>
                <c:pt idx="10">
                  <c:v> 2015</c:v>
                </c:pt>
                <c:pt idx="11">
                  <c:v> 2016</c:v>
                </c:pt>
                <c:pt idx="12">
                  <c:v> 2017</c:v>
                </c:pt>
                <c:pt idx="13">
                  <c:v> 2018</c:v>
                </c:pt>
                <c:pt idx="14">
                  <c:v> 2019</c:v>
                </c:pt>
              </c:strCache>
            </c:strRef>
          </c:xVal>
          <c:yVal>
            <c:numRef>
              <c:f>('UE Años'!$D$2,'UE Años'!$D$3:$D$16)</c:f>
              <c:numCache>
                <c:formatCode>0.000</c:formatCode>
                <c:ptCount val="15"/>
                <c:pt idx="0">
                  <c:v>6.7680000000000007</c:v>
                </c:pt>
                <c:pt idx="1">
                  <c:v>8.5009999999999994</c:v>
                </c:pt>
                <c:pt idx="2">
                  <c:v>9.7199999999999989</c:v>
                </c:pt>
                <c:pt idx="3">
                  <c:v>10.612</c:v>
                </c:pt>
                <c:pt idx="4">
                  <c:v>11.247999999999999</c:v>
                </c:pt>
                <c:pt idx="5">
                  <c:v>12.052999999999999</c:v>
                </c:pt>
                <c:pt idx="6">
                  <c:v>12.795000000000002</c:v>
                </c:pt>
                <c:pt idx="7">
                  <c:v>13.800999999999998</c:v>
                </c:pt>
                <c:pt idx="8">
                  <c:v>14.61</c:v>
                </c:pt>
                <c:pt idx="9">
                  <c:v>15.832000000000001</c:v>
                </c:pt>
                <c:pt idx="10">
                  <c:v>16.738</c:v>
                </c:pt>
                <c:pt idx="11">
                  <c:v>17.91</c:v>
                </c:pt>
                <c:pt idx="12">
                  <c:v>20.100999999999999</c:v>
                </c:pt>
                <c:pt idx="13">
                  <c:v>19.541999999999998</c:v>
                </c:pt>
                <c:pt idx="14">
                  <c:v>14.491999999999999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31-4F0F-9D0F-C58D92758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568639"/>
        <c:axId val="1024569599"/>
      </c:scatterChart>
      <c:valAx>
        <c:axId val="102456863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024569599"/>
        <c:crosses val="autoZero"/>
        <c:crossBetween val="midCat"/>
      </c:valAx>
      <c:valAx>
        <c:axId val="102456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024568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'US Años'!$B$22</c:f>
              <c:strCache>
                <c:ptCount val="1"/>
                <c:pt idx="0">
                  <c:v>Total US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6579034763511705"/>
                  <c:y val="-0.111678083583205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A"/>
                </a:p>
              </c:txPr>
            </c:trendlineLbl>
          </c:trendline>
          <c:xVal>
            <c:strRef>
              <c:f>'US Años'!$A$23:$A$37</c:f>
              <c:strCache>
                <c:ptCount val="15"/>
                <c:pt idx="0">
                  <c:v> 2005</c:v>
                </c:pt>
                <c:pt idx="1">
                  <c:v> 2006</c:v>
                </c:pt>
                <c:pt idx="2">
                  <c:v> 2007</c:v>
                </c:pt>
                <c:pt idx="3">
                  <c:v> 2008</c:v>
                </c:pt>
                <c:pt idx="4">
                  <c:v> 2009</c:v>
                </c:pt>
                <c:pt idx="5">
                  <c:v> 2010</c:v>
                </c:pt>
                <c:pt idx="6">
                  <c:v> 2011</c:v>
                </c:pt>
                <c:pt idx="7">
                  <c:v> 2012</c:v>
                </c:pt>
                <c:pt idx="8">
                  <c:v> 2013</c:v>
                </c:pt>
                <c:pt idx="9">
                  <c:v> 2014</c:v>
                </c:pt>
                <c:pt idx="10">
                  <c:v> 2015</c:v>
                </c:pt>
                <c:pt idx="11">
                  <c:v> 2016</c:v>
                </c:pt>
                <c:pt idx="12">
                  <c:v> 2017</c:v>
                </c:pt>
                <c:pt idx="13">
                  <c:v> 2018</c:v>
                </c:pt>
                <c:pt idx="14">
                  <c:v> 2019</c:v>
                </c:pt>
              </c:strCache>
            </c:strRef>
          </c:xVal>
          <c:yVal>
            <c:numRef>
              <c:f>'US Años'!$B$23:$B$37</c:f>
              <c:numCache>
                <c:formatCode>General</c:formatCode>
                <c:ptCount val="15"/>
                <c:pt idx="0">
                  <c:v>13667.08</c:v>
                </c:pt>
                <c:pt idx="1">
                  <c:v>14303.491</c:v>
                </c:pt>
                <c:pt idx="2">
                  <c:v>12131.356</c:v>
                </c:pt>
                <c:pt idx="3">
                  <c:v>12878.311</c:v>
                </c:pt>
                <c:pt idx="4">
                  <c:v>13994.274000000001</c:v>
                </c:pt>
                <c:pt idx="5">
                  <c:v>14117.786</c:v>
                </c:pt>
                <c:pt idx="6">
                  <c:v>14707.684000000001</c:v>
                </c:pt>
                <c:pt idx="7">
                  <c:v>16161.875</c:v>
                </c:pt>
                <c:pt idx="8">
                  <c:v>17549.685000000001</c:v>
                </c:pt>
                <c:pt idx="9">
                  <c:v>18329.366000000002</c:v>
                </c:pt>
                <c:pt idx="10">
                  <c:v>18634.758999999998</c:v>
                </c:pt>
                <c:pt idx="11">
                  <c:v>20351.669999999998</c:v>
                </c:pt>
                <c:pt idx="12">
                  <c:v>22865.163999999997</c:v>
                </c:pt>
                <c:pt idx="13">
                  <c:v>24562.468000000001</c:v>
                </c:pt>
                <c:pt idx="14">
                  <c:v>16716.474999999999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77-4159-A183-C07B91E3D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206416"/>
        <c:axId val="1056204976"/>
      </c:scatterChart>
      <c:valAx>
        <c:axId val="105620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056204976"/>
        <c:crosses val="autoZero"/>
        <c:crossBetween val="midCat"/>
      </c:valAx>
      <c:valAx>
        <c:axId val="105620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056206416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92689450797452"/>
                  <c:y val="-0.25375476161389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A"/>
                </a:p>
              </c:txPr>
            </c:trendlineLbl>
          </c:trendline>
          <c:xVal>
            <c:numRef>
              <c:f>('Year UE Autocorelacion'!$A$2:$A$52,'Year UE Autocorelacion'!$A$53:$A$60)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('Year UE Autocorelacion'!$C$2:$C$51,'Year UE Autocorelacion'!$C$52:$C$59)</c:f>
              <c:numCache>
                <c:formatCode>General</c:formatCode>
                <c:ptCount val="58"/>
                <c:pt idx="0">
                  <c:v>917.14</c:v>
                </c:pt>
                <c:pt idx="1">
                  <c:v>924.44799999999998</c:v>
                </c:pt>
                <c:pt idx="2">
                  <c:v>886.40700000000004</c:v>
                </c:pt>
                <c:pt idx="3">
                  <c:v>964.53700000000003</c:v>
                </c:pt>
                <c:pt idx="4">
                  <c:v>978.52</c:v>
                </c:pt>
                <c:pt idx="5">
                  <c:v>956.23199999999997</c:v>
                </c:pt>
                <c:pt idx="6">
                  <c:v>968.13100000000009</c:v>
                </c:pt>
                <c:pt idx="7">
                  <c:v>1075.4270000000001</c:v>
                </c:pt>
                <c:pt idx="8">
                  <c:v>1099.3690000000001</c:v>
                </c:pt>
                <c:pt idx="9">
                  <c:v>1099.683</c:v>
                </c:pt>
                <c:pt idx="10">
                  <c:v>1145.5529999999999</c:v>
                </c:pt>
                <c:pt idx="11">
                  <c:v>1286.693</c:v>
                </c:pt>
                <c:pt idx="12">
                  <c:v>1291.9169999999999</c:v>
                </c:pt>
                <c:pt idx="13">
                  <c:v>319.524</c:v>
                </c:pt>
                <c:pt idx="14">
                  <c:v>1259.4189999999999</c:v>
                </c:pt>
                <c:pt idx="15">
                  <c:v>1285.2919999999999</c:v>
                </c:pt>
                <c:pt idx="16">
                  <c:v>1215.0540000000001</c:v>
                </c:pt>
                <c:pt idx="17">
                  <c:v>1216.5929999999998</c:v>
                </c:pt>
                <c:pt idx="18">
                  <c:v>1235.8220000000001</c:v>
                </c:pt>
                <c:pt idx="19">
                  <c:v>335.93900000000002</c:v>
                </c:pt>
                <c:pt idx="20">
                  <c:v>1333.7329999999999</c:v>
                </c:pt>
                <c:pt idx="21">
                  <c:v>1154.7159999999999</c:v>
                </c:pt>
                <c:pt idx="22">
                  <c:v>1259.8310000000001</c:v>
                </c:pt>
                <c:pt idx="23">
                  <c:v>336.137</c:v>
                </c:pt>
                <c:pt idx="24">
                  <c:v>385.94799999999998</c:v>
                </c:pt>
                <c:pt idx="25">
                  <c:v>327.24599999999998</c:v>
                </c:pt>
                <c:pt idx="26">
                  <c:v>351.22</c:v>
                </c:pt>
                <c:pt idx="27">
                  <c:v>363.452</c:v>
                </c:pt>
                <c:pt idx="28">
                  <c:v>398.24599999999998</c:v>
                </c:pt>
                <c:pt idx="29">
                  <c:v>345.75400000000002</c:v>
                </c:pt>
                <c:pt idx="30">
                  <c:v>1315.4259999999999</c:v>
                </c:pt>
                <c:pt idx="31">
                  <c:v>388.87799999999999</c:v>
                </c:pt>
                <c:pt idx="32">
                  <c:v>436.56599999999997</c:v>
                </c:pt>
                <c:pt idx="33">
                  <c:v>377.14699999999999</c:v>
                </c:pt>
                <c:pt idx="34">
                  <c:v>392.77600000000001</c:v>
                </c:pt>
                <c:pt idx="35">
                  <c:v>415.23599999999999</c:v>
                </c:pt>
                <c:pt idx="36">
                  <c:v>473.8</c:v>
                </c:pt>
                <c:pt idx="37">
                  <c:v>422.54700000000003</c:v>
                </c:pt>
                <c:pt idx="38">
                  <c:v>472.53399999999999</c:v>
                </c:pt>
                <c:pt idx="39">
                  <c:v>482.935</c:v>
                </c:pt>
                <c:pt idx="40">
                  <c:v>510.27800000000002</c:v>
                </c:pt>
                <c:pt idx="41">
                  <c:v>451.50299999999999</c:v>
                </c:pt>
                <c:pt idx="42">
                  <c:v>501.505</c:v>
                </c:pt>
                <c:pt idx="43">
                  <c:v>630.40599999999995</c:v>
                </c:pt>
                <c:pt idx="44">
                  <c:v>701.13900000000001</c:v>
                </c:pt>
                <c:pt idx="45">
                  <c:v>649.98699999999997</c:v>
                </c:pt>
                <c:pt idx="46">
                  <c:v>657.76400000000001</c:v>
                </c:pt>
                <c:pt idx="47">
                  <c:v>659.03200000000004</c:v>
                </c:pt>
                <c:pt idx="48">
                  <c:v>693.13</c:v>
                </c:pt>
                <c:pt idx="49">
                  <c:v>620.83500000000004</c:v>
                </c:pt>
                <c:pt idx="50">
                  <c:v>646.48599999999999</c:v>
                </c:pt>
                <c:pt idx="51">
                  <c:v>674.28899999999999</c:v>
                </c:pt>
                <c:pt idx="52">
                  <c:v>728.25599999999997</c:v>
                </c:pt>
                <c:pt idx="53">
                  <c:v>652.16899999999998</c:v>
                </c:pt>
                <c:pt idx="54">
                  <c:v>691.10199999999998</c:v>
                </c:pt>
                <c:pt idx="55">
                  <c:v>708.39300000000003</c:v>
                </c:pt>
                <c:pt idx="56">
                  <c:v>780.24</c:v>
                </c:pt>
                <c:pt idx="57">
                  <c:v>710.03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43-418E-A192-1DB7A4136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435808"/>
        <c:axId val="1114436288"/>
      </c:scatterChart>
      <c:valAx>
        <c:axId val="111443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/>
                  <a:t>Trimestres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114436288"/>
        <c:crosses val="autoZero"/>
        <c:crossBetween val="midCat"/>
      </c:valAx>
      <c:valAx>
        <c:axId val="111443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/>
                  <a:t>MILLONES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114435808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92689450797452"/>
                  <c:y val="-0.25375476161389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A"/>
                </a:p>
              </c:txPr>
            </c:trendlineLbl>
          </c:trendline>
          <c:xVal>
            <c:numRef>
              <c:f>('Year US Autocorelacion'!$A$2:$A$52,'Year US Autocorelacion'!$A$53:$A$60)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('Year US Autocorelacion'!$C$2:$C$52,'Year US Autocorelacion'!$C$53:$C$60)</c:f>
              <c:numCache>
                <c:formatCode>General</c:formatCode>
                <c:ptCount val="59"/>
                <c:pt idx="0">
                  <c:v>3223.5839999999998</c:v>
                </c:pt>
                <c:pt idx="1">
                  <c:v>3472.9369999999999</c:v>
                </c:pt>
                <c:pt idx="2">
                  <c:v>3369.4650000000001</c:v>
                </c:pt>
                <c:pt idx="3">
                  <c:v>3601.0940000000001</c:v>
                </c:pt>
                <c:pt idx="4">
                  <c:v>3627.9300000000003</c:v>
                </c:pt>
                <c:pt idx="5">
                  <c:v>3789.5219999999999</c:v>
                </c:pt>
                <c:pt idx="6">
                  <c:v>3793.3879999999999</c:v>
                </c:pt>
                <c:pt idx="7">
                  <c:v>3092.6509999999998</c:v>
                </c:pt>
                <c:pt idx="8">
                  <c:v>3167.471</c:v>
                </c:pt>
                <c:pt idx="9">
                  <c:v>3291.1210000000001</c:v>
                </c:pt>
                <c:pt idx="10">
                  <c:v>3312.029</c:v>
                </c:pt>
                <c:pt idx="11">
                  <c:v>2360.7350000000001</c:v>
                </c:pt>
                <c:pt idx="12">
                  <c:v>2895.9360000000001</c:v>
                </c:pt>
                <c:pt idx="13">
                  <c:v>3115.0299999999997</c:v>
                </c:pt>
                <c:pt idx="14">
                  <c:v>4035.8679999999999</c:v>
                </c:pt>
                <c:pt idx="15">
                  <c:v>2831.4769999999999</c:v>
                </c:pt>
                <c:pt idx="16">
                  <c:v>3900.4079999999999</c:v>
                </c:pt>
                <c:pt idx="17">
                  <c:v>3016.83</c:v>
                </c:pt>
                <c:pt idx="18">
                  <c:v>4165.1149999999998</c:v>
                </c:pt>
                <c:pt idx="19">
                  <c:v>2911.9210000000003</c:v>
                </c:pt>
                <c:pt idx="20">
                  <c:v>3185.0740000000001</c:v>
                </c:pt>
                <c:pt idx="21">
                  <c:v>3265.3599999999997</c:v>
                </c:pt>
                <c:pt idx="22">
                  <c:v>4256.2119999999995</c:v>
                </c:pt>
                <c:pt idx="23">
                  <c:v>3411.14</c:v>
                </c:pt>
                <c:pt idx="24">
                  <c:v>3494.1019999999999</c:v>
                </c:pt>
                <c:pt idx="25">
                  <c:v>3692.1639999999998</c:v>
                </c:pt>
                <c:pt idx="26">
                  <c:v>3714.1660000000002</c:v>
                </c:pt>
                <c:pt idx="27">
                  <c:v>3807.252</c:v>
                </c:pt>
                <c:pt idx="28">
                  <c:v>3889.8969999999999</c:v>
                </c:pt>
                <c:pt idx="29">
                  <c:v>4010.0519999999997</c:v>
                </c:pt>
                <c:pt idx="30">
                  <c:v>3947.6409999999996</c:v>
                </c:pt>
                <c:pt idx="31">
                  <c:v>4314.2849999999999</c:v>
                </c:pt>
                <c:pt idx="32">
                  <c:v>4375.1080000000002</c:v>
                </c:pt>
                <c:pt idx="33">
                  <c:v>4398.5460000000003</c:v>
                </c:pt>
                <c:pt idx="34">
                  <c:v>4257.6869999999999</c:v>
                </c:pt>
                <c:pt idx="35">
                  <c:v>4518.3440000000001</c:v>
                </c:pt>
                <c:pt idx="36">
                  <c:v>4358.7479999999996</c:v>
                </c:pt>
                <c:pt idx="37">
                  <c:v>4560.9520000000002</c:v>
                </c:pt>
                <c:pt idx="38">
                  <c:v>4659.3</c:v>
                </c:pt>
                <c:pt idx="39">
                  <c:v>4750.366</c:v>
                </c:pt>
                <c:pt idx="40">
                  <c:v>4532.5</c:v>
                </c:pt>
                <c:pt idx="41">
                  <c:v>4794.3590000000004</c:v>
                </c:pt>
                <c:pt idx="42">
                  <c:v>4187.83</c:v>
                </c:pt>
                <c:pt idx="43">
                  <c:v>5120.07</c:v>
                </c:pt>
                <c:pt idx="44">
                  <c:v>4755.9179999999997</c:v>
                </c:pt>
                <c:pt idx="45">
                  <c:v>5158.3530000000001</c:v>
                </c:pt>
                <c:pt idx="46">
                  <c:v>5027.1220000000003</c:v>
                </c:pt>
                <c:pt idx="47">
                  <c:v>5410.277</c:v>
                </c:pt>
                <c:pt idx="48">
                  <c:v>5386.6620000000003</c:v>
                </c:pt>
                <c:pt idx="49">
                  <c:v>5543.451</c:v>
                </c:pt>
                <c:pt idx="50">
                  <c:v>5764.6930000000002</c:v>
                </c:pt>
                <c:pt idx="51">
                  <c:v>6170.3580000000002</c:v>
                </c:pt>
                <c:pt idx="52">
                  <c:v>6077.558</c:v>
                </c:pt>
                <c:pt idx="53">
                  <c:v>6345.5069999999996</c:v>
                </c:pt>
                <c:pt idx="54">
                  <c:v>6394.8150000000005</c:v>
                </c:pt>
                <c:pt idx="55">
                  <c:v>5744.5879999999997</c:v>
                </c:pt>
                <c:pt idx="56">
                  <c:v>6680.277</c:v>
                </c:pt>
                <c:pt idx="57">
                  <c:v>4965.5910000000003</c:v>
                </c:pt>
                <c:pt idx="58">
                  <c:v>5070.607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48-4564-9624-F5EEED361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435808"/>
        <c:axId val="1114436288"/>
      </c:scatterChart>
      <c:valAx>
        <c:axId val="111443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114436288"/>
        <c:crosses val="autoZero"/>
        <c:crossBetween val="midCat"/>
      </c:valAx>
      <c:valAx>
        <c:axId val="111443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114435808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'XQ US'!$B$22</c:f>
              <c:strCache>
                <c:ptCount val="1"/>
                <c:pt idx="0">
                  <c:v>Q1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'XQ US'!$A$23:$A$37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xVal>
          <c:yVal>
            <c:numRef>
              <c:f>'XQ US'!$B$23:$B$37</c:f>
              <c:numCache>
                <c:formatCode>General</c:formatCode>
                <c:ptCount val="15"/>
                <c:pt idx="0">
                  <c:v>3071.5839999999998</c:v>
                </c:pt>
                <c:pt idx="1">
                  <c:v>3459.93</c:v>
                </c:pt>
                <c:pt idx="2">
                  <c:v>2956.471</c:v>
                </c:pt>
                <c:pt idx="3">
                  <c:v>2646.9360000000001</c:v>
                </c:pt>
                <c:pt idx="4">
                  <c:v>3664.4080000000004</c:v>
                </c:pt>
                <c:pt idx="5">
                  <c:v>2916.0740000000001</c:v>
                </c:pt>
                <c:pt idx="6">
                  <c:v>3201.1019999999999</c:v>
                </c:pt>
                <c:pt idx="7">
                  <c:v>3566.8969999999999</c:v>
                </c:pt>
                <c:pt idx="8">
                  <c:v>4043.1080000000002</c:v>
                </c:pt>
                <c:pt idx="9">
                  <c:v>3998.748</c:v>
                </c:pt>
                <c:pt idx="10">
                  <c:v>4150.5</c:v>
                </c:pt>
                <c:pt idx="11">
                  <c:v>4337.9179999999997</c:v>
                </c:pt>
                <c:pt idx="12">
                  <c:v>4924.6620000000003</c:v>
                </c:pt>
                <c:pt idx="13">
                  <c:v>5539.558</c:v>
                </c:pt>
                <c:pt idx="14">
                  <c:v>6104.277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A8-4ABA-BB87-67E51A3DDED1}"/>
            </c:ext>
          </c:extLst>
        </c:ser>
        <c:ser>
          <c:idx val="1"/>
          <c:order val="1"/>
          <c:tx>
            <c:strRef>
              <c:f>'XQ US'!$C$22</c:f>
              <c:strCache>
                <c:ptCount val="1"/>
                <c:pt idx="0">
                  <c:v>Q2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'XQ US'!$A$23:$A$37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xVal>
          <c:yVal>
            <c:numRef>
              <c:f>'XQ US'!$C$23:$C$37</c:f>
              <c:numCache>
                <c:formatCode>General</c:formatCode>
                <c:ptCount val="15"/>
                <c:pt idx="0">
                  <c:v>3311.9369999999999</c:v>
                </c:pt>
                <c:pt idx="1">
                  <c:v>3598.5219999999999</c:v>
                </c:pt>
                <c:pt idx="2">
                  <c:v>3054.1210000000001</c:v>
                </c:pt>
                <c:pt idx="3">
                  <c:v>2834.0299999999997</c:v>
                </c:pt>
                <c:pt idx="4">
                  <c:v>2750.83</c:v>
                </c:pt>
                <c:pt idx="5">
                  <c:v>2984.36</c:v>
                </c:pt>
                <c:pt idx="6">
                  <c:v>3374.1639999999998</c:v>
                </c:pt>
                <c:pt idx="7">
                  <c:v>3674.0519999999997</c:v>
                </c:pt>
                <c:pt idx="8">
                  <c:v>4045.5460000000003</c:v>
                </c:pt>
                <c:pt idx="9">
                  <c:v>4170.9520000000002</c:v>
                </c:pt>
                <c:pt idx="10">
                  <c:v>4381.3590000000004</c:v>
                </c:pt>
                <c:pt idx="11">
                  <c:v>4691.3530000000001</c:v>
                </c:pt>
                <c:pt idx="12">
                  <c:v>5034.451</c:v>
                </c:pt>
                <c:pt idx="13">
                  <c:v>5764.5069999999996</c:v>
                </c:pt>
                <c:pt idx="14">
                  <c:v>4345.5910000000003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A8-4ABA-BB87-67E51A3DDED1}"/>
            </c:ext>
          </c:extLst>
        </c:ser>
        <c:ser>
          <c:idx val="2"/>
          <c:order val="2"/>
          <c:tx>
            <c:strRef>
              <c:f>'XQ US'!$D$22</c:f>
              <c:strCache>
                <c:ptCount val="1"/>
                <c:pt idx="0">
                  <c:v>Q3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'XQ US'!$A$23:$A$37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xVal>
          <c:yVal>
            <c:numRef>
              <c:f>'XQ US'!$D$23:$D$37</c:f>
              <c:numCache>
                <c:formatCode>General</c:formatCode>
                <c:ptCount val="15"/>
                <c:pt idx="0">
                  <c:v>3211.4650000000001</c:v>
                </c:pt>
                <c:pt idx="1">
                  <c:v>3606.3879999999999</c:v>
                </c:pt>
                <c:pt idx="2">
                  <c:v>3083.0290000000005</c:v>
                </c:pt>
                <c:pt idx="3">
                  <c:v>3784.8679999999999</c:v>
                </c:pt>
                <c:pt idx="4">
                  <c:v>3906.1149999999998</c:v>
                </c:pt>
                <c:pt idx="5">
                  <c:v>3986.212</c:v>
                </c:pt>
                <c:pt idx="6">
                  <c:v>3413.1660000000002</c:v>
                </c:pt>
                <c:pt idx="7">
                  <c:v>3632.6410000000001</c:v>
                </c:pt>
                <c:pt idx="8">
                  <c:v>3919.6869999999999</c:v>
                </c:pt>
                <c:pt idx="9">
                  <c:v>4275.3</c:v>
                </c:pt>
                <c:pt idx="10">
                  <c:v>3781.83</c:v>
                </c:pt>
                <c:pt idx="11">
                  <c:v>4579.1219999999994</c:v>
                </c:pt>
                <c:pt idx="12">
                  <c:v>5272.6930000000002</c:v>
                </c:pt>
                <c:pt idx="13">
                  <c:v>5849.8150000000005</c:v>
                </c:pt>
                <c:pt idx="14">
                  <c:v>4465.607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A8-4ABA-BB87-67E51A3DDED1}"/>
            </c:ext>
          </c:extLst>
        </c:ser>
        <c:ser>
          <c:idx val="3"/>
          <c:order val="3"/>
          <c:tx>
            <c:strRef>
              <c:f>'XQ US'!$E$22</c:f>
              <c:strCache>
                <c:ptCount val="1"/>
                <c:pt idx="0">
                  <c:v>Q4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'XQ US'!$A$23:$A$37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xVal>
          <c:yVal>
            <c:numRef>
              <c:f>'XQ US'!$E$23:$E$37</c:f>
              <c:numCache>
                <c:formatCode>General</c:formatCode>
                <c:ptCount val="15"/>
                <c:pt idx="0">
                  <c:v>3434.0940000000001</c:v>
                </c:pt>
                <c:pt idx="1">
                  <c:v>2900.6509999999998</c:v>
                </c:pt>
                <c:pt idx="2">
                  <c:v>2115.7350000000001</c:v>
                </c:pt>
                <c:pt idx="3">
                  <c:v>2588.4769999999999</c:v>
                </c:pt>
                <c:pt idx="4">
                  <c:v>2641.9210000000003</c:v>
                </c:pt>
                <c:pt idx="5">
                  <c:v>3127.14</c:v>
                </c:pt>
                <c:pt idx="6">
                  <c:v>3500.252</c:v>
                </c:pt>
                <c:pt idx="7">
                  <c:v>3994.2849999999999</c:v>
                </c:pt>
                <c:pt idx="8">
                  <c:v>4164.3440000000001</c:v>
                </c:pt>
                <c:pt idx="9">
                  <c:v>4398.366</c:v>
                </c:pt>
                <c:pt idx="10">
                  <c:v>4720.07</c:v>
                </c:pt>
                <c:pt idx="11">
                  <c:v>4967.277</c:v>
                </c:pt>
                <c:pt idx="12">
                  <c:v>5664.3580000000002</c:v>
                </c:pt>
                <c:pt idx="13">
                  <c:v>5195.5879999999997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A8-4ABA-BB87-67E51A3DD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818112"/>
        <c:axId val="483819552"/>
      </c:scatterChart>
      <c:valAx>
        <c:axId val="4838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83819552"/>
        <c:crosses val="autoZero"/>
        <c:crossBetween val="midCat"/>
      </c:valAx>
      <c:valAx>
        <c:axId val="483819552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8381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'Year Analys US'!$C$1</c:f>
              <c:strCache>
                <c:ptCount val="1"/>
                <c:pt idx="0">
                  <c:v>Total US</c:v>
                </c:pt>
              </c:strCache>
            </c:strRef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4.7438824704784874E-2"/>
                  <c:y val="-0.144190191660126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A"/>
                </a:p>
              </c:txPr>
            </c:trendlineLbl>
          </c:trendline>
          <c:xVal>
            <c:strRef>
              <c:f>'Year Analys US'!$B$2:$B$60</c:f>
              <c:strCache>
                <c:ptCount val="59"/>
                <c:pt idx="0">
                  <c:v>Q1 2005</c:v>
                </c:pt>
                <c:pt idx="1">
                  <c:v>Q2 2005</c:v>
                </c:pt>
                <c:pt idx="2">
                  <c:v>Q3 2005</c:v>
                </c:pt>
                <c:pt idx="3">
                  <c:v>Q4 2005</c:v>
                </c:pt>
                <c:pt idx="4">
                  <c:v>Q1 2006</c:v>
                </c:pt>
                <c:pt idx="5">
                  <c:v>Q2 2006</c:v>
                </c:pt>
                <c:pt idx="6">
                  <c:v>Q3 2006</c:v>
                </c:pt>
                <c:pt idx="7">
                  <c:v>Q4 2006</c:v>
                </c:pt>
                <c:pt idx="8">
                  <c:v>Q1 2007</c:v>
                </c:pt>
                <c:pt idx="9">
                  <c:v>Q2 2007</c:v>
                </c:pt>
                <c:pt idx="10">
                  <c:v>Q3 2007</c:v>
                </c:pt>
                <c:pt idx="11">
                  <c:v>Q4 2007</c:v>
                </c:pt>
                <c:pt idx="12">
                  <c:v>Q1 2008</c:v>
                </c:pt>
                <c:pt idx="13">
                  <c:v>Q2 2008</c:v>
                </c:pt>
                <c:pt idx="14">
                  <c:v>Q3 2008</c:v>
                </c:pt>
                <c:pt idx="15">
                  <c:v>Q4 2008</c:v>
                </c:pt>
                <c:pt idx="16">
                  <c:v>Q1 2009</c:v>
                </c:pt>
                <c:pt idx="17">
                  <c:v>Q2 2009</c:v>
                </c:pt>
                <c:pt idx="18">
                  <c:v>Q3 2009</c:v>
                </c:pt>
                <c:pt idx="19">
                  <c:v>Q4 2009</c:v>
                </c:pt>
                <c:pt idx="20">
                  <c:v>Q1 2010</c:v>
                </c:pt>
                <c:pt idx="21">
                  <c:v>Q2 2010</c:v>
                </c:pt>
                <c:pt idx="22">
                  <c:v>Q3 2010</c:v>
                </c:pt>
                <c:pt idx="23">
                  <c:v>Q4 2010</c:v>
                </c:pt>
                <c:pt idx="24">
                  <c:v>Q1 2011</c:v>
                </c:pt>
                <c:pt idx="25">
                  <c:v>Q2 2011</c:v>
                </c:pt>
                <c:pt idx="26">
                  <c:v>Q3 2011</c:v>
                </c:pt>
                <c:pt idx="27">
                  <c:v>Q4 2011</c:v>
                </c:pt>
                <c:pt idx="28">
                  <c:v>Q1 2012</c:v>
                </c:pt>
                <c:pt idx="29">
                  <c:v>Q2 2012</c:v>
                </c:pt>
                <c:pt idx="30">
                  <c:v>Q3 2012</c:v>
                </c:pt>
                <c:pt idx="31">
                  <c:v>Q4 2012</c:v>
                </c:pt>
                <c:pt idx="32">
                  <c:v>Q1 2013</c:v>
                </c:pt>
                <c:pt idx="33">
                  <c:v>Q2 2013</c:v>
                </c:pt>
                <c:pt idx="34">
                  <c:v>Q3 2013</c:v>
                </c:pt>
                <c:pt idx="35">
                  <c:v>Q4 2013</c:v>
                </c:pt>
                <c:pt idx="36">
                  <c:v>Q1 2014</c:v>
                </c:pt>
                <c:pt idx="37">
                  <c:v>Q2 2014</c:v>
                </c:pt>
                <c:pt idx="38">
                  <c:v>Q3 2014</c:v>
                </c:pt>
                <c:pt idx="39">
                  <c:v>Q4 2014</c:v>
                </c:pt>
                <c:pt idx="40">
                  <c:v>Q1 2015</c:v>
                </c:pt>
                <c:pt idx="41">
                  <c:v>Q2 2015</c:v>
                </c:pt>
                <c:pt idx="42">
                  <c:v>Q3 2015</c:v>
                </c:pt>
                <c:pt idx="43">
                  <c:v>Q4 2015</c:v>
                </c:pt>
                <c:pt idx="44">
                  <c:v>Q1 2016</c:v>
                </c:pt>
                <c:pt idx="45">
                  <c:v>Q2 2016</c:v>
                </c:pt>
                <c:pt idx="46">
                  <c:v>Q3 2016</c:v>
                </c:pt>
                <c:pt idx="47">
                  <c:v>Q4 2016</c:v>
                </c:pt>
                <c:pt idx="48">
                  <c:v>Q1 2017</c:v>
                </c:pt>
                <c:pt idx="49">
                  <c:v>Q2 2017</c:v>
                </c:pt>
                <c:pt idx="50">
                  <c:v>Q3 2017</c:v>
                </c:pt>
                <c:pt idx="51">
                  <c:v>Q4 2017</c:v>
                </c:pt>
                <c:pt idx="52">
                  <c:v>Q1 2018</c:v>
                </c:pt>
                <c:pt idx="53">
                  <c:v>Q2 2018</c:v>
                </c:pt>
                <c:pt idx="54">
                  <c:v>Q3 2018</c:v>
                </c:pt>
                <c:pt idx="55">
                  <c:v>Q4 2018</c:v>
                </c:pt>
                <c:pt idx="56">
                  <c:v>Q1 2019</c:v>
                </c:pt>
                <c:pt idx="57">
                  <c:v>Q2 2019</c:v>
                </c:pt>
                <c:pt idx="58">
                  <c:v>Q3 2019</c:v>
                </c:pt>
              </c:strCache>
            </c:strRef>
          </c:xVal>
          <c:yVal>
            <c:numRef>
              <c:f>'Year Analys US'!$C$2:$C$60</c:f>
              <c:numCache>
                <c:formatCode>General</c:formatCode>
                <c:ptCount val="59"/>
                <c:pt idx="0">
                  <c:v>3223.5839999999998</c:v>
                </c:pt>
                <c:pt idx="1">
                  <c:v>3472.9369999999999</c:v>
                </c:pt>
                <c:pt idx="2">
                  <c:v>3369.4650000000001</c:v>
                </c:pt>
                <c:pt idx="3">
                  <c:v>3601.0940000000001</c:v>
                </c:pt>
                <c:pt idx="4">
                  <c:v>3627.9300000000003</c:v>
                </c:pt>
                <c:pt idx="5">
                  <c:v>3789.5219999999999</c:v>
                </c:pt>
                <c:pt idx="6">
                  <c:v>3793.3879999999999</c:v>
                </c:pt>
                <c:pt idx="7">
                  <c:v>3092.6509999999998</c:v>
                </c:pt>
                <c:pt idx="8">
                  <c:v>3167.471</c:v>
                </c:pt>
                <c:pt idx="9">
                  <c:v>3291.1210000000001</c:v>
                </c:pt>
                <c:pt idx="10">
                  <c:v>3312.029</c:v>
                </c:pt>
                <c:pt idx="11">
                  <c:v>2360.7350000000001</c:v>
                </c:pt>
                <c:pt idx="12">
                  <c:v>2895.9360000000001</c:v>
                </c:pt>
                <c:pt idx="13">
                  <c:v>3115.0299999999997</c:v>
                </c:pt>
                <c:pt idx="14">
                  <c:v>4035.8679999999999</c:v>
                </c:pt>
                <c:pt idx="15">
                  <c:v>2831.4769999999999</c:v>
                </c:pt>
                <c:pt idx="16">
                  <c:v>3900.4079999999999</c:v>
                </c:pt>
                <c:pt idx="17">
                  <c:v>3016.83</c:v>
                </c:pt>
                <c:pt idx="18">
                  <c:v>4165.1149999999998</c:v>
                </c:pt>
                <c:pt idx="19">
                  <c:v>2911.9210000000003</c:v>
                </c:pt>
                <c:pt idx="20">
                  <c:v>3185.0740000000001</c:v>
                </c:pt>
                <c:pt idx="21">
                  <c:v>3265.3599999999997</c:v>
                </c:pt>
                <c:pt idx="22">
                  <c:v>4256.2119999999995</c:v>
                </c:pt>
                <c:pt idx="23">
                  <c:v>3411.14</c:v>
                </c:pt>
                <c:pt idx="24">
                  <c:v>3494.1019999999999</c:v>
                </c:pt>
                <c:pt idx="25">
                  <c:v>3692.1639999999998</c:v>
                </c:pt>
                <c:pt idx="26">
                  <c:v>3714.1660000000002</c:v>
                </c:pt>
                <c:pt idx="27">
                  <c:v>3807.252</c:v>
                </c:pt>
                <c:pt idx="28">
                  <c:v>3889.8969999999999</c:v>
                </c:pt>
                <c:pt idx="29">
                  <c:v>4010.0519999999997</c:v>
                </c:pt>
                <c:pt idx="30">
                  <c:v>3947.6409999999996</c:v>
                </c:pt>
                <c:pt idx="31">
                  <c:v>4314.2849999999999</c:v>
                </c:pt>
                <c:pt idx="32">
                  <c:v>4375.1080000000002</c:v>
                </c:pt>
                <c:pt idx="33">
                  <c:v>4398.5460000000003</c:v>
                </c:pt>
                <c:pt idx="34">
                  <c:v>4257.6869999999999</c:v>
                </c:pt>
                <c:pt idx="35">
                  <c:v>4518.3440000000001</c:v>
                </c:pt>
                <c:pt idx="36">
                  <c:v>4358.7479999999996</c:v>
                </c:pt>
                <c:pt idx="37">
                  <c:v>4560.9520000000002</c:v>
                </c:pt>
                <c:pt idx="38">
                  <c:v>4659.3</c:v>
                </c:pt>
                <c:pt idx="39">
                  <c:v>4750.366</c:v>
                </c:pt>
                <c:pt idx="40">
                  <c:v>4532.5</c:v>
                </c:pt>
                <c:pt idx="41">
                  <c:v>4794.3590000000004</c:v>
                </c:pt>
                <c:pt idx="42">
                  <c:v>4187.83</c:v>
                </c:pt>
                <c:pt idx="43">
                  <c:v>5120.07</c:v>
                </c:pt>
                <c:pt idx="44">
                  <c:v>4755.9179999999997</c:v>
                </c:pt>
                <c:pt idx="45">
                  <c:v>5158.3530000000001</c:v>
                </c:pt>
                <c:pt idx="46">
                  <c:v>5027.1220000000003</c:v>
                </c:pt>
                <c:pt idx="47">
                  <c:v>5410.277</c:v>
                </c:pt>
                <c:pt idx="48">
                  <c:v>5386.6620000000003</c:v>
                </c:pt>
                <c:pt idx="49">
                  <c:v>5543.451</c:v>
                </c:pt>
                <c:pt idx="50">
                  <c:v>5764.6930000000002</c:v>
                </c:pt>
                <c:pt idx="51">
                  <c:v>6170.3580000000002</c:v>
                </c:pt>
                <c:pt idx="52">
                  <c:v>6077.558</c:v>
                </c:pt>
                <c:pt idx="53">
                  <c:v>6345.5069999999996</c:v>
                </c:pt>
                <c:pt idx="54">
                  <c:v>6394.8150000000005</c:v>
                </c:pt>
                <c:pt idx="55">
                  <c:v>5744.5879999999997</c:v>
                </c:pt>
                <c:pt idx="56">
                  <c:v>6680.277</c:v>
                </c:pt>
                <c:pt idx="57">
                  <c:v>4965.5910000000003</c:v>
                </c:pt>
                <c:pt idx="58">
                  <c:v>5070.607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0B-48F4-9380-9E3A5E044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306672"/>
        <c:axId val="66130523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'Year Analys US'!$D$1</c15:sqref>
                        </c15:formulaRef>
                      </c:ext>
                    </c:extLst>
                    <c:strCache>
                      <c:ptCount val="1"/>
                      <c:pt idx="0">
                        <c:v>Periodo 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alpha val="5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lt1"/>
                    </a:solidFill>
                    <a:ln w="15875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</a:ln>
                    <a:effectLst/>
                  </c:spPr>
                  <c:trendlineType val="linear"/>
                  <c:dispRSqr val="1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PA"/>
                      </a:p>
                    </c:txPr>
                  </c:trendlineLbl>
                </c:trendline>
                <c:xVal>
                  <c:strRef>
                    <c:extLst>
                      <c:ext uri="{02D57815-91ED-43cb-92C2-25804820EDAC}">
                        <c15:formulaRef>
                          <c15:sqref>'Year Analys US'!$B$2:$B$60</c15:sqref>
                        </c15:formulaRef>
                      </c:ext>
                    </c:extLst>
                    <c:strCache>
                      <c:ptCount val="59"/>
                      <c:pt idx="0">
                        <c:v>Q1 2005</c:v>
                      </c:pt>
                      <c:pt idx="1">
                        <c:v>Q2 2005</c:v>
                      </c:pt>
                      <c:pt idx="2">
                        <c:v>Q3 2005</c:v>
                      </c:pt>
                      <c:pt idx="3">
                        <c:v>Q4 2005</c:v>
                      </c:pt>
                      <c:pt idx="4">
                        <c:v>Q1 2006</c:v>
                      </c:pt>
                      <c:pt idx="5">
                        <c:v>Q2 2006</c:v>
                      </c:pt>
                      <c:pt idx="6">
                        <c:v>Q3 2006</c:v>
                      </c:pt>
                      <c:pt idx="7">
                        <c:v>Q4 2006</c:v>
                      </c:pt>
                      <c:pt idx="8">
                        <c:v>Q1 2007</c:v>
                      </c:pt>
                      <c:pt idx="9">
                        <c:v>Q2 2007</c:v>
                      </c:pt>
                      <c:pt idx="10">
                        <c:v>Q3 2007</c:v>
                      </c:pt>
                      <c:pt idx="11">
                        <c:v>Q4 2007</c:v>
                      </c:pt>
                      <c:pt idx="12">
                        <c:v>Q1 2008</c:v>
                      </c:pt>
                      <c:pt idx="13">
                        <c:v>Q2 2008</c:v>
                      </c:pt>
                      <c:pt idx="14">
                        <c:v>Q3 2008</c:v>
                      </c:pt>
                      <c:pt idx="15">
                        <c:v>Q4 2008</c:v>
                      </c:pt>
                      <c:pt idx="16">
                        <c:v>Q1 2009</c:v>
                      </c:pt>
                      <c:pt idx="17">
                        <c:v>Q2 2009</c:v>
                      </c:pt>
                      <c:pt idx="18">
                        <c:v>Q3 2009</c:v>
                      </c:pt>
                      <c:pt idx="19">
                        <c:v>Q4 2009</c:v>
                      </c:pt>
                      <c:pt idx="20">
                        <c:v>Q1 2010</c:v>
                      </c:pt>
                      <c:pt idx="21">
                        <c:v>Q2 2010</c:v>
                      </c:pt>
                      <c:pt idx="22">
                        <c:v>Q3 2010</c:v>
                      </c:pt>
                      <c:pt idx="23">
                        <c:v>Q4 2010</c:v>
                      </c:pt>
                      <c:pt idx="24">
                        <c:v>Q1 2011</c:v>
                      </c:pt>
                      <c:pt idx="25">
                        <c:v>Q2 2011</c:v>
                      </c:pt>
                      <c:pt idx="26">
                        <c:v>Q3 2011</c:v>
                      </c:pt>
                      <c:pt idx="27">
                        <c:v>Q4 2011</c:v>
                      </c:pt>
                      <c:pt idx="28">
                        <c:v>Q1 2012</c:v>
                      </c:pt>
                      <c:pt idx="29">
                        <c:v>Q2 2012</c:v>
                      </c:pt>
                      <c:pt idx="30">
                        <c:v>Q3 2012</c:v>
                      </c:pt>
                      <c:pt idx="31">
                        <c:v>Q4 2012</c:v>
                      </c:pt>
                      <c:pt idx="32">
                        <c:v>Q1 2013</c:v>
                      </c:pt>
                      <c:pt idx="33">
                        <c:v>Q2 2013</c:v>
                      </c:pt>
                      <c:pt idx="34">
                        <c:v>Q3 2013</c:v>
                      </c:pt>
                      <c:pt idx="35">
                        <c:v>Q4 2013</c:v>
                      </c:pt>
                      <c:pt idx="36">
                        <c:v>Q1 2014</c:v>
                      </c:pt>
                      <c:pt idx="37">
                        <c:v>Q2 2014</c:v>
                      </c:pt>
                      <c:pt idx="38">
                        <c:v>Q3 2014</c:v>
                      </c:pt>
                      <c:pt idx="39">
                        <c:v>Q4 2014</c:v>
                      </c:pt>
                      <c:pt idx="40">
                        <c:v>Q1 2015</c:v>
                      </c:pt>
                      <c:pt idx="41">
                        <c:v>Q2 2015</c:v>
                      </c:pt>
                      <c:pt idx="42">
                        <c:v>Q3 2015</c:v>
                      </c:pt>
                      <c:pt idx="43">
                        <c:v>Q4 2015</c:v>
                      </c:pt>
                      <c:pt idx="44">
                        <c:v>Q1 2016</c:v>
                      </c:pt>
                      <c:pt idx="45">
                        <c:v>Q2 2016</c:v>
                      </c:pt>
                      <c:pt idx="46">
                        <c:v>Q3 2016</c:v>
                      </c:pt>
                      <c:pt idx="47">
                        <c:v>Q4 2016</c:v>
                      </c:pt>
                      <c:pt idx="48">
                        <c:v>Q1 2017</c:v>
                      </c:pt>
                      <c:pt idx="49">
                        <c:v>Q2 2017</c:v>
                      </c:pt>
                      <c:pt idx="50">
                        <c:v>Q3 2017</c:v>
                      </c:pt>
                      <c:pt idx="51">
                        <c:v>Q4 2017</c:v>
                      </c:pt>
                      <c:pt idx="52">
                        <c:v>Q1 2018</c:v>
                      </c:pt>
                      <c:pt idx="53">
                        <c:v>Q2 2018</c:v>
                      </c:pt>
                      <c:pt idx="54">
                        <c:v>Q3 2018</c:v>
                      </c:pt>
                      <c:pt idx="55">
                        <c:v>Q4 2018</c:v>
                      </c:pt>
                      <c:pt idx="56">
                        <c:v>Q1 2019</c:v>
                      </c:pt>
                      <c:pt idx="57">
                        <c:v>Q2 2019</c:v>
                      </c:pt>
                      <c:pt idx="58">
                        <c:v>Q3 2019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'Year Analys US'!$D$2:$D$60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99CE-4714-9C21-9FC8FB53B060}"/>
                  </c:ext>
                </c:extLst>
              </c15:ser>
            </c15:filteredScatterSeries>
          </c:ext>
        </c:extLst>
      </c:scatterChart>
      <c:valAx>
        <c:axId val="661306672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61305232"/>
        <c:crosses val="autoZero"/>
        <c:crossBetween val="midCat"/>
      </c:valAx>
      <c:valAx>
        <c:axId val="661305232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61306672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'Year Analys US'!$C$1</c:f>
              <c:strCache>
                <c:ptCount val="1"/>
                <c:pt idx="0">
                  <c:v>Total US</c:v>
                </c:pt>
              </c:strCache>
            </c:strRef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540293013499854"/>
                  <c:y val="-0.24074893979541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A"/>
                </a:p>
              </c:txPr>
            </c:trendlineLbl>
          </c:trendline>
          <c:xVal>
            <c:strRef>
              <c:f>'Year Analys US'!$B$2:$B$60</c:f>
              <c:strCache>
                <c:ptCount val="59"/>
                <c:pt idx="0">
                  <c:v>Q1 2005</c:v>
                </c:pt>
                <c:pt idx="1">
                  <c:v>Q2 2005</c:v>
                </c:pt>
                <c:pt idx="2">
                  <c:v>Q3 2005</c:v>
                </c:pt>
                <c:pt idx="3">
                  <c:v>Q4 2005</c:v>
                </c:pt>
                <c:pt idx="4">
                  <c:v>Q1 2006</c:v>
                </c:pt>
                <c:pt idx="5">
                  <c:v>Q2 2006</c:v>
                </c:pt>
                <c:pt idx="6">
                  <c:v>Q3 2006</c:v>
                </c:pt>
                <c:pt idx="7">
                  <c:v>Q4 2006</c:v>
                </c:pt>
                <c:pt idx="8">
                  <c:v>Q1 2007</c:v>
                </c:pt>
                <c:pt idx="9">
                  <c:v>Q2 2007</c:v>
                </c:pt>
                <c:pt idx="10">
                  <c:v>Q3 2007</c:v>
                </c:pt>
                <c:pt idx="11">
                  <c:v>Q4 2007</c:v>
                </c:pt>
                <c:pt idx="12">
                  <c:v>Q1 2008</c:v>
                </c:pt>
                <c:pt idx="13">
                  <c:v>Q2 2008</c:v>
                </c:pt>
                <c:pt idx="14">
                  <c:v>Q3 2008</c:v>
                </c:pt>
                <c:pt idx="15">
                  <c:v>Q4 2008</c:v>
                </c:pt>
                <c:pt idx="16">
                  <c:v>Q1 2009</c:v>
                </c:pt>
                <c:pt idx="17">
                  <c:v>Q2 2009</c:v>
                </c:pt>
                <c:pt idx="18">
                  <c:v>Q3 2009</c:v>
                </c:pt>
                <c:pt idx="19">
                  <c:v>Q4 2009</c:v>
                </c:pt>
                <c:pt idx="20">
                  <c:v>Q1 2010</c:v>
                </c:pt>
                <c:pt idx="21">
                  <c:v>Q2 2010</c:v>
                </c:pt>
                <c:pt idx="22">
                  <c:v>Q3 2010</c:v>
                </c:pt>
                <c:pt idx="23">
                  <c:v>Q4 2010</c:v>
                </c:pt>
                <c:pt idx="24">
                  <c:v>Q1 2011</c:v>
                </c:pt>
                <c:pt idx="25">
                  <c:v>Q2 2011</c:v>
                </c:pt>
                <c:pt idx="26">
                  <c:v>Q3 2011</c:v>
                </c:pt>
                <c:pt idx="27">
                  <c:v>Q4 2011</c:v>
                </c:pt>
                <c:pt idx="28">
                  <c:v>Q1 2012</c:v>
                </c:pt>
                <c:pt idx="29">
                  <c:v>Q2 2012</c:v>
                </c:pt>
                <c:pt idx="30">
                  <c:v>Q3 2012</c:v>
                </c:pt>
                <c:pt idx="31">
                  <c:v>Q4 2012</c:v>
                </c:pt>
                <c:pt idx="32">
                  <c:v>Q1 2013</c:v>
                </c:pt>
                <c:pt idx="33">
                  <c:v>Q2 2013</c:v>
                </c:pt>
                <c:pt idx="34">
                  <c:v>Q3 2013</c:v>
                </c:pt>
                <c:pt idx="35">
                  <c:v>Q4 2013</c:v>
                </c:pt>
                <c:pt idx="36">
                  <c:v>Q1 2014</c:v>
                </c:pt>
                <c:pt idx="37">
                  <c:v>Q2 2014</c:v>
                </c:pt>
                <c:pt idx="38">
                  <c:v>Q3 2014</c:v>
                </c:pt>
                <c:pt idx="39">
                  <c:v>Q4 2014</c:v>
                </c:pt>
                <c:pt idx="40">
                  <c:v>Q1 2015</c:v>
                </c:pt>
                <c:pt idx="41">
                  <c:v>Q2 2015</c:v>
                </c:pt>
                <c:pt idx="42">
                  <c:v>Q3 2015</c:v>
                </c:pt>
                <c:pt idx="43">
                  <c:v>Q4 2015</c:v>
                </c:pt>
                <c:pt idx="44">
                  <c:v>Q1 2016</c:v>
                </c:pt>
                <c:pt idx="45">
                  <c:v>Q2 2016</c:v>
                </c:pt>
                <c:pt idx="46">
                  <c:v>Q3 2016</c:v>
                </c:pt>
                <c:pt idx="47">
                  <c:v>Q4 2016</c:v>
                </c:pt>
                <c:pt idx="48">
                  <c:v>Q1 2017</c:v>
                </c:pt>
                <c:pt idx="49">
                  <c:v>Q2 2017</c:v>
                </c:pt>
                <c:pt idx="50">
                  <c:v>Q3 2017</c:v>
                </c:pt>
                <c:pt idx="51">
                  <c:v>Q4 2017</c:v>
                </c:pt>
                <c:pt idx="52">
                  <c:v>Q1 2018</c:v>
                </c:pt>
                <c:pt idx="53">
                  <c:v>Q2 2018</c:v>
                </c:pt>
                <c:pt idx="54">
                  <c:v>Q3 2018</c:v>
                </c:pt>
                <c:pt idx="55">
                  <c:v>Q4 2018</c:v>
                </c:pt>
                <c:pt idx="56">
                  <c:v>Q1 2019</c:v>
                </c:pt>
                <c:pt idx="57">
                  <c:v>Q2 2019</c:v>
                </c:pt>
                <c:pt idx="58">
                  <c:v>Q3 2019</c:v>
                </c:pt>
              </c:strCache>
            </c:strRef>
          </c:xVal>
          <c:yVal>
            <c:numRef>
              <c:f>'Year Analys US'!$C$2:$C$60</c:f>
              <c:numCache>
                <c:formatCode>General</c:formatCode>
                <c:ptCount val="59"/>
                <c:pt idx="0">
                  <c:v>3223.5839999999998</c:v>
                </c:pt>
                <c:pt idx="1">
                  <c:v>3472.9369999999999</c:v>
                </c:pt>
                <c:pt idx="2">
                  <c:v>3369.4650000000001</c:v>
                </c:pt>
                <c:pt idx="3">
                  <c:v>3601.0940000000001</c:v>
                </c:pt>
                <c:pt idx="4">
                  <c:v>3627.9300000000003</c:v>
                </c:pt>
                <c:pt idx="5">
                  <c:v>3789.5219999999999</c:v>
                </c:pt>
                <c:pt idx="6">
                  <c:v>3793.3879999999999</c:v>
                </c:pt>
                <c:pt idx="7">
                  <c:v>3092.6509999999998</c:v>
                </c:pt>
                <c:pt idx="8">
                  <c:v>3167.471</c:v>
                </c:pt>
                <c:pt idx="9">
                  <c:v>3291.1210000000001</c:v>
                </c:pt>
                <c:pt idx="10">
                  <c:v>3312.029</c:v>
                </c:pt>
                <c:pt idx="11">
                  <c:v>2360.7350000000001</c:v>
                </c:pt>
                <c:pt idx="12">
                  <c:v>2895.9360000000001</c:v>
                </c:pt>
                <c:pt idx="13">
                  <c:v>3115.0299999999997</c:v>
                </c:pt>
                <c:pt idx="14">
                  <c:v>4035.8679999999999</c:v>
                </c:pt>
                <c:pt idx="15">
                  <c:v>2831.4769999999999</c:v>
                </c:pt>
                <c:pt idx="16">
                  <c:v>3900.4079999999999</c:v>
                </c:pt>
                <c:pt idx="17">
                  <c:v>3016.83</c:v>
                </c:pt>
                <c:pt idx="18">
                  <c:v>4165.1149999999998</c:v>
                </c:pt>
                <c:pt idx="19">
                  <c:v>2911.9210000000003</c:v>
                </c:pt>
                <c:pt idx="20">
                  <c:v>3185.0740000000001</c:v>
                </c:pt>
                <c:pt idx="21">
                  <c:v>3265.3599999999997</c:v>
                </c:pt>
                <c:pt idx="22">
                  <c:v>4256.2119999999995</c:v>
                </c:pt>
                <c:pt idx="23">
                  <c:v>3411.14</c:v>
                </c:pt>
                <c:pt idx="24">
                  <c:v>3494.1019999999999</c:v>
                </c:pt>
                <c:pt idx="25">
                  <c:v>3692.1639999999998</c:v>
                </c:pt>
                <c:pt idx="26">
                  <c:v>3714.1660000000002</c:v>
                </c:pt>
                <c:pt idx="27">
                  <c:v>3807.252</c:v>
                </c:pt>
                <c:pt idx="28">
                  <c:v>3889.8969999999999</c:v>
                </c:pt>
                <c:pt idx="29">
                  <c:v>4010.0519999999997</c:v>
                </c:pt>
                <c:pt idx="30">
                  <c:v>3947.6409999999996</c:v>
                </c:pt>
                <c:pt idx="31">
                  <c:v>4314.2849999999999</c:v>
                </c:pt>
                <c:pt idx="32">
                  <c:v>4375.1080000000002</c:v>
                </c:pt>
                <c:pt idx="33">
                  <c:v>4398.5460000000003</c:v>
                </c:pt>
                <c:pt idx="34">
                  <c:v>4257.6869999999999</c:v>
                </c:pt>
                <c:pt idx="35">
                  <c:v>4518.3440000000001</c:v>
                </c:pt>
                <c:pt idx="36">
                  <c:v>4358.7479999999996</c:v>
                </c:pt>
                <c:pt idx="37">
                  <c:v>4560.9520000000002</c:v>
                </c:pt>
                <c:pt idx="38">
                  <c:v>4659.3</c:v>
                </c:pt>
                <c:pt idx="39">
                  <c:v>4750.366</c:v>
                </c:pt>
                <c:pt idx="40">
                  <c:v>4532.5</c:v>
                </c:pt>
                <c:pt idx="41">
                  <c:v>4794.3590000000004</c:v>
                </c:pt>
                <c:pt idx="42">
                  <c:v>4187.83</c:v>
                </c:pt>
                <c:pt idx="43">
                  <c:v>5120.07</c:v>
                </c:pt>
                <c:pt idx="44">
                  <c:v>4755.9179999999997</c:v>
                </c:pt>
                <c:pt idx="45">
                  <c:v>5158.3530000000001</c:v>
                </c:pt>
                <c:pt idx="46">
                  <c:v>5027.1220000000003</c:v>
                </c:pt>
                <c:pt idx="47">
                  <c:v>5410.277</c:v>
                </c:pt>
                <c:pt idx="48">
                  <c:v>5386.6620000000003</c:v>
                </c:pt>
                <c:pt idx="49">
                  <c:v>5543.451</c:v>
                </c:pt>
                <c:pt idx="50">
                  <c:v>5764.6930000000002</c:v>
                </c:pt>
                <c:pt idx="51">
                  <c:v>6170.3580000000002</c:v>
                </c:pt>
                <c:pt idx="52">
                  <c:v>6077.558</c:v>
                </c:pt>
                <c:pt idx="53">
                  <c:v>6345.5069999999996</c:v>
                </c:pt>
                <c:pt idx="54">
                  <c:v>6394.8150000000005</c:v>
                </c:pt>
                <c:pt idx="55">
                  <c:v>5744.5879999999997</c:v>
                </c:pt>
                <c:pt idx="56">
                  <c:v>6680.277</c:v>
                </c:pt>
                <c:pt idx="57">
                  <c:v>4965.5910000000003</c:v>
                </c:pt>
                <c:pt idx="58">
                  <c:v>5070.607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31-41F1-BBDB-C1AB23130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097152"/>
        <c:axId val="1349325119"/>
      </c:scatterChart>
      <c:valAx>
        <c:axId val="466097152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349325119"/>
        <c:crosses val="autoZero"/>
        <c:crossBetween val="midCat"/>
      </c:valAx>
      <c:valAx>
        <c:axId val="134932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66097152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'Year Analys US'!$C$1</c:f>
              <c:strCache>
                <c:ptCount val="1"/>
                <c:pt idx="0">
                  <c:v>Total US</c:v>
                </c:pt>
              </c:strCache>
            </c:strRef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4.7438824704784874E-2"/>
                  <c:y val="-0.144190191660126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A"/>
                </a:p>
              </c:txPr>
            </c:trendlineLbl>
          </c:trendline>
          <c:xVal>
            <c:strRef>
              <c:f>'Year Analys US'!$B$2:$B$60</c:f>
              <c:strCache>
                <c:ptCount val="59"/>
                <c:pt idx="0">
                  <c:v>Q1 2005</c:v>
                </c:pt>
                <c:pt idx="1">
                  <c:v>Q2 2005</c:v>
                </c:pt>
                <c:pt idx="2">
                  <c:v>Q3 2005</c:v>
                </c:pt>
                <c:pt idx="3">
                  <c:v>Q4 2005</c:v>
                </c:pt>
                <c:pt idx="4">
                  <c:v>Q1 2006</c:v>
                </c:pt>
                <c:pt idx="5">
                  <c:v>Q2 2006</c:v>
                </c:pt>
                <c:pt idx="6">
                  <c:v>Q3 2006</c:v>
                </c:pt>
                <c:pt idx="7">
                  <c:v>Q4 2006</c:v>
                </c:pt>
                <c:pt idx="8">
                  <c:v>Q1 2007</c:v>
                </c:pt>
                <c:pt idx="9">
                  <c:v>Q2 2007</c:v>
                </c:pt>
                <c:pt idx="10">
                  <c:v>Q3 2007</c:v>
                </c:pt>
                <c:pt idx="11">
                  <c:v>Q4 2007</c:v>
                </c:pt>
                <c:pt idx="12">
                  <c:v>Q1 2008</c:v>
                </c:pt>
                <c:pt idx="13">
                  <c:v>Q2 2008</c:v>
                </c:pt>
                <c:pt idx="14">
                  <c:v>Q3 2008</c:v>
                </c:pt>
                <c:pt idx="15">
                  <c:v>Q4 2008</c:v>
                </c:pt>
                <c:pt idx="16">
                  <c:v>Q1 2009</c:v>
                </c:pt>
                <c:pt idx="17">
                  <c:v>Q2 2009</c:v>
                </c:pt>
                <c:pt idx="18">
                  <c:v>Q3 2009</c:v>
                </c:pt>
                <c:pt idx="19">
                  <c:v>Q4 2009</c:v>
                </c:pt>
                <c:pt idx="20">
                  <c:v>Q1 2010</c:v>
                </c:pt>
                <c:pt idx="21">
                  <c:v>Q2 2010</c:v>
                </c:pt>
                <c:pt idx="22">
                  <c:v>Q3 2010</c:v>
                </c:pt>
                <c:pt idx="23">
                  <c:v>Q4 2010</c:v>
                </c:pt>
                <c:pt idx="24">
                  <c:v>Q1 2011</c:v>
                </c:pt>
                <c:pt idx="25">
                  <c:v>Q2 2011</c:v>
                </c:pt>
                <c:pt idx="26">
                  <c:v>Q3 2011</c:v>
                </c:pt>
                <c:pt idx="27">
                  <c:v>Q4 2011</c:v>
                </c:pt>
                <c:pt idx="28">
                  <c:v>Q1 2012</c:v>
                </c:pt>
                <c:pt idx="29">
                  <c:v>Q2 2012</c:v>
                </c:pt>
                <c:pt idx="30">
                  <c:v>Q3 2012</c:v>
                </c:pt>
                <c:pt idx="31">
                  <c:v>Q4 2012</c:v>
                </c:pt>
                <c:pt idx="32">
                  <c:v>Q1 2013</c:v>
                </c:pt>
                <c:pt idx="33">
                  <c:v>Q2 2013</c:v>
                </c:pt>
                <c:pt idx="34">
                  <c:v>Q3 2013</c:v>
                </c:pt>
                <c:pt idx="35">
                  <c:v>Q4 2013</c:v>
                </c:pt>
                <c:pt idx="36">
                  <c:v>Q1 2014</c:v>
                </c:pt>
                <c:pt idx="37">
                  <c:v>Q2 2014</c:v>
                </c:pt>
                <c:pt idx="38">
                  <c:v>Q3 2014</c:v>
                </c:pt>
                <c:pt idx="39">
                  <c:v>Q4 2014</c:v>
                </c:pt>
                <c:pt idx="40">
                  <c:v>Q1 2015</c:v>
                </c:pt>
                <c:pt idx="41">
                  <c:v>Q2 2015</c:v>
                </c:pt>
                <c:pt idx="42">
                  <c:v>Q3 2015</c:v>
                </c:pt>
                <c:pt idx="43">
                  <c:v>Q4 2015</c:v>
                </c:pt>
                <c:pt idx="44">
                  <c:v>Q1 2016</c:v>
                </c:pt>
                <c:pt idx="45">
                  <c:v>Q2 2016</c:v>
                </c:pt>
                <c:pt idx="46">
                  <c:v>Q3 2016</c:v>
                </c:pt>
                <c:pt idx="47">
                  <c:v>Q4 2016</c:v>
                </c:pt>
                <c:pt idx="48">
                  <c:v>Q1 2017</c:v>
                </c:pt>
                <c:pt idx="49">
                  <c:v>Q2 2017</c:v>
                </c:pt>
                <c:pt idx="50">
                  <c:v>Q3 2017</c:v>
                </c:pt>
                <c:pt idx="51">
                  <c:v>Q4 2017</c:v>
                </c:pt>
                <c:pt idx="52">
                  <c:v>Q1 2018</c:v>
                </c:pt>
                <c:pt idx="53">
                  <c:v>Q2 2018</c:v>
                </c:pt>
                <c:pt idx="54">
                  <c:v>Q3 2018</c:v>
                </c:pt>
                <c:pt idx="55">
                  <c:v>Q4 2018</c:v>
                </c:pt>
                <c:pt idx="56">
                  <c:v>Q1 2019</c:v>
                </c:pt>
                <c:pt idx="57">
                  <c:v>Q2 2019</c:v>
                </c:pt>
                <c:pt idx="58">
                  <c:v>Q3 2019</c:v>
                </c:pt>
              </c:strCache>
            </c:strRef>
          </c:xVal>
          <c:yVal>
            <c:numRef>
              <c:f>'Year Analys US'!$C$2:$C$60</c:f>
              <c:numCache>
                <c:formatCode>General</c:formatCode>
                <c:ptCount val="59"/>
                <c:pt idx="0">
                  <c:v>3223.5839999999998</c:v>
                </c:pt>
                <c:pt idx="1">
                  <c:v>3472.9369999999999</c:v>
                </c:pt>
                <c:pt idx="2">
                  <c:v>3369.4650000000001</c:v>
                </c:pt>
                <c:pt idx="3">
                  <c:v>3601.0940000000001</c:v>
                </c:pt>
                <c:pt idx="4">
                  <c:v>3627.9300000000003</c:v>
                </c:pt>
                <c:pt idx="5">
                  <c:v>3789.5219999999999</c:v>
                </c:pt>
                <c:pt idx="6">
                  <c:v>3793.3879999999999</c:v>
                </c:pt>
                <c:pt idx="7">
                  <c:v>3092.6509999999998</c:v>
                </c:pt>
                <c:pt idx="8">
                  <c:v>3167.471</c:v>
                </c:pt>
                <c:pt idx="9">
                  <c:v>3291.1210000000001</c:v>
                </c:pt>
                <c:pt idx="10">
                  <c:v>3312.029</c:v>
                </c:pt>
                <c:pt idx="11">
                  <c:v>2360.7350000000001</c:v>
                </c:pt>
                <c:pt idx="12">
                  <c:v>2895.9360000000001</c:v>
                </c:pt>
                <c:pt idx="13">
                  <c:v>3115.0299999999997</c:v>
                </c:pt>
                <c:pt idx="14">
                  <c:v>4035.8679999999999</c:v>
                </c:pt>
                <c:pt idx="15">
                  <c:v>2831.4769999999999</c:v>
                </c:pt>
                <c:pt idx="16">
                  <c:v>3900.4079999999999</c:v>
                </c:pt>
                <c:pt idx="17">
                  <c:v>3016.83</c:v>
                </c:pt>
                <c:pt idx="18">
                  <c:v>4165.1149999999998</c:v>
                </c:pt>
                <c:pt idx="19">
                  <c:v>2911.9210000000003</c:v>
                </c:pt>
                <c:pt idx="20">
                  <c:v>3185.0740000000001</c:v>
                </c:pt>
                <c:pt idx="21">
                  <c:v>3265.3599999999997</c:v>
                </c:pt>
                <c:pt idx="22">
                  <c:v>4256.2119999999995</c:v>
                </c:pt>
                <c:pt idx="23">
                  <c:v>3411.14</c:v>
                </c:pt>
                <c:pt idx="24">
                  <c:v>3494.1019999999999</c:v>
                </c:pt>
                <c:pt idx="25">
                  <c:v>3692.1639999999998</c:v>
                </c:pt>
                <c:pt idx="26">
                  <c:v>3714.1660000000002</c:v>
                </c:pt>
                <c:pt idx="27">
                  <c:v>3807.252</c:v>
                </c:pt>
                <c:pt idx="28">
                  <c:v>3889.8969999999999</c:v>
                </c:pt>
                <c:pt idx="29">
                  <c:v>4010.0519999999997</c:v>
                </c:pt>
                <c:pt idx="30">
                  <c:v>3947.6409999999996</c:v>
                </c:pt>
                <c:pt idx="31">
                  <c:v>4314.2849999999999</c:v>
                </c:pt>
                <c:pt idx="32">
                  <c:v>4375.1080000000002</c:v>
                </c:pt>
                <c:pt idx="33">
                  <c:v>4398.5460000000003</c:v>
                </c:pt>
                <c:pt idx="34">
                  <c:v>4257.6869999999999</c:v>
                </c:pt>
                <c:pt idx="35">
                  <c:v>4518.3440000000001</c:v>
                </c:pt>
                <c:pt idx="36">
                  <c:v>4358.7479999999996</c:v>
                </c:pt>
                <c:pt idx="37">
                  <c:v>4560.9520000000002</c:v>
                </c:pt>
                <c:pt idx="38">
                  <c:v>4659.3</c:v>
                </c:pt>
                <c:pt idx="39">
                  <c:v>4750.366</c:v>
                </c:pt>
                <c:pt idx="40">
                  <c:v>4532.5</c:v>
                </c:pt>
                <c:pt idx="41">
                  <c:v>4794.3590000000004</c:v>
                </c:pt>
                <c:pt idx="42">
                  <c:v>4187.83</c:v>
                </c:pt>
                <c:pt idx="43">
                  <c:v>5120.07</c:v>
                </c:pt>
                <c:pt idx="44">
                  <c:v>4755.9179999999997</c:v>
                </c:pt>
                <c:pt idx="45">
                  <c:v>5158.3530000000001</c:v>
                </c:pt>
                <c:pt idx="46">
                  <c:v>5027.1220000000003</c:v>
                </c:pt>
                <c:pt idx="47">
                  <c:v>5410.277</c:v>
                </c:pt>
                <c:pt idx="48">
                  <c:v>5386.6620000000003</c:v>
                </c:pt>
                <c:pt idx="49">
                  <c:v>5543.451</c:v>
                </c:pt>
                <c:pt idx="50">
                  <c:v>5764.6930000000002</c:v>
                </c:pt>
                <c:pt idx="51">
                  <c:v>6170.3580000000002</c:v>
                </c:pt>
                <c:pt idx="52">
                  <c:v>6077.558</c:v>
                </c:pt>
                <c:pt idx="53">
                  <c:v>6345.5069999999996</c:v>
                </c:pt>
                <c:pt idx="54">
                  <c:v>6394.8150000000005</c:v>
                </c:pt>
                <c:pt idx="55">
                  <c:v>5744.5879999999997</c:v>
                </c:pt>
                <c:pt idx="56">
                  <c:v>6680.277</c:v>
                </c:pt>
                <c:pt idx="57">
                  <c:v>4965.5910000000003</c:v>
                </c:pt>
                <c:pt idx="58">
                  <c:v>5070.607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A7-473C-BB9E-BB4ED2CE9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306672"/>
        <c:axId val="66130523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'Year Analys US'!$D$1</c15:sqref>
                        </c15:formulaRef>
                      </c:ext>
                    </c:extLst>
                    <c:strCache>
                      <c:ptCount val="1"/>
                      <c:pt idx="0">
                        <c:v>Periodo 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alpha val="5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lt1"/>
                    </a:solidFill>
                    <a:ln w="15875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</a:ln>
                    <a:effectLst/>
                  </c:spPr>
                  <c:trendlineType val="linear"/>
                  <c:dispRSqr val="1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PA"/>
                      </a:p>
                    </c:txPr>
                  </c:trendlineLbl>
                </c:trendline>
                <c:xVal>
                  <c:strRef>
                    <c:extLst>
                      <c:ext uri="{02D57815-91ED-43cb-92C2-25804820EDAC}">
                        <c15:formulaRef>
                          <c15:sqref>'Year Analys US'!$B$2:$B$60</c15:sqref>
                        </c15:formulaRef>
                      </c:ext>
                    </c:extLst>
                    <c:strCache>
                      <c:ptCount val="59"/>
                      <c:pt idx="0">
                        <c:v>Q1 2005</c:v>
                      </c:pt>
                      <c:pt idx="1">
                        <c:v>Q2 2005</c:v>
                      </c:pt>
                      <c:pt idx="2">
                        <c:v>Q3 2005</c:v>
                      </c:pt>
                      <c:pt idx="3">
                        <c:v>Q4 2005</c:v>
                      </c:pt>
                      <c:pt idx="4">
                        <c:v>Q1 2006</c:v>
                      </c:pt>
                      <c:pt idx="5">
                        <c:v>Q2 2006</c:v>
                      </c:pt>
                      <c:pt idx="6">
                        <c:v>Q3 2006</c:v>
                      </c:pt>
                      <c:pt idx="7">
                        <c:v>Q4 2006</c:v>
                      </c:pt>
                      <c:pt idx="8">
                        <c:v>Q1 2007</c:v>
                      </c:pt>
                      <c:pt idx="9">
                        <c:v>Q2 2007</c:v>
                      </c:pt>
                      <c:pt idx="10">
                        <c:v>Q3 2007</c:v>
                      </c:pt>
                      <c:pt idx="11">
                        <c:v>Q4 2007</c:v>
                      </c:pt>
                      <c:pt idx="12">
                        <c:v>Q1 2008</c:v>
                      </c:pt>
                      <c:pt idx="13">
                        <c:v>Q2 2008</c:v>
                      </c:pt>
                      <c:pt idx="14">
                        <c:v>Q3 2008</c:v>
                      </c:pt>
                      <c:pt idx="15">
                        <c:v>Q4 2008</c:v>
                      </c:pt>
                      <c:pt idx="16">
                        <c:v>Q1 2009</c:v>
                      </c:pt>
                      <c:pt idx="17">
                        <c:v>Q2 2009</c:v>
                      </c:pt>
                      <c:pt idx="18">
                        <c:v>Q3 2009</c:v>
                      </c:pt>
                      <c:pt idx="19">
                        <c:v>Q4 2009</c:v>
                      </c:pt>
                      <c:pt idx="20">
                        <c:v>Q1 2010</c:v>
                      </c:pt>
                      <c:pt idx="21">
                        <c:v>Q2 2010</c:v>
                      </c:pt>
                      <c:pt idx="22">
                        <c:v>Q3 2010</c:v>
                      </c:pt>
                      <c:pt idx="23">
                        <c:v>Q4 2010</c:v>
                      </c:pt>
                      <c:pt idx="24">
                        <c:v>Q1 2011</c:v>
                      </c:pt>
                      <c:pt idx="25">
                        <c:v>Q2 2011</c:v>
                      </c:pt>
                      <c:pt idx="26">
                        <c:v>Q3 2011</c:v>
                      </c:pt>
                      <c:pt idx="27">
                        <c:v>Q4 2011</c:v>
                      </c:pt>
                      <c:pt idx="28">
                        <c:v>Q1 2012</c:v>
                      </c:pt>
                      <c:pt idx="29">
                        <c:v>Q2 2012</c:v>
                      </c:pt>
                      <c:pt idx="30">
                        <c:v>Q3 2012</c:v>
                      </c:pt>
                      <c:pt idx="31">
                        <c:v>Q4 2012</c:v>
                      </c:pt>
                      <c:pt idx="32">
                        <c:v>Q1 2013</c:v>
                      </c:pt>
                      <c:pt idx="33">
                        <c:v>Q2 2013</c:v>
                      </c:pt>
                      <c:pt idx="34">
                        <c:v>Q3 2013</c:v>
                      </c:pt>
                      <c:pt idx="35">
                        <c:v>Q4 2013</c:v>
                      </c:pt>
                      <c:pt idx="36">
                        <c:v>Q1 2014</c:v>
                      </c:pt>
                      <c:pt idx="37">
                        <c:v>Q2 2014</c:v>
                      </c:pt>
                      <c:pt idx="38">
                        <c:v>Q3 2014</c:v>
                      </c:pt>
                      <c:pt idx="39">
                        <c:v>Q4 2014</c:v>
                      </c:pt>
                      <c:pt idx="40">
                        <c:v>Q1 2015</c:v>
                      </c:pt>
                      <c:pt idx="41">
                        <c:v>Q2 2015</c:v>
                      </c:pt>
                      <c:pt idx="42">
                        <c:v>Q3 2015</c:v>
                      </c:pt>
                      <c:pt idx="43">
                        <c:v>Q4 2015</c:v>
                      </c:pt>
                      <c:pt idx="44">
                        <c:v>Q1 2016</c:v>
                      </c:pt>
                      <c:pt idx="45">
                        <c:v>Q2 2016</c:v>
                      </c:pt>
                      <c:pt idx="46">
                        <c:v>Q3 2016</c:v>
                      </c:pt>
                      <c:pt idx="47">
                        <c:v>Q4 2016</c:v>
                      </c:pt>
                      <c:pt idx="48">
                        <c:v>Q1 2017</c:v>
                      </c:pt>
                      <c:pt idx="49">
                        <c:v>Q2 2017</c:v>
                      </c:pt>
                      <c:pt idx="50">
                        <c:v>Q3 2017</c:v>
                      </c:pt>
                      <c:pt idx="51">
                        <c:v>Q4 2017</c:v>
                      </c:pt>
                      <c:pt idx="52">
                        <c:v>Q1 2018</c:v>
                      </c:pt>
                      <c:pt idx="53">
                        <c:v>Q2 2018</c:v>
                      </c:pt>
                      <c:pt idx="54">
                        <c:v>Q3 2018</c:v>
                      </c:pt>
                      <c:pt idx="55">
                        <c:v>Q4 2018</c:v>
                      </c:pt>
                      <c:pt idx="56">
                        <c:v>Q1 2019</c:v>
                      </c:pt>
                      <c:pt idx="57">
                        <c:v>Q2 2019</c:v>
                      </c:pt>
                      <c:pt idx="58">
                        <c:v>Q3 2019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'Year Analys US'!$D$2:$D$60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02A7-473C-BB9E-BB4ED2CE9BDB}"/>
                  </c:ext>
                </c:extLst>
              </c15:ser>
            </c15:filteredScatterSeries>
          </c:ext>
        </c:extLst>
      </c:scatterChart>
      <c:valAx>
        <c:axId val="661306672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61305232"/>
        <c:crosses val="autoZero"/>
        <c:crossBetween val="midCat"/>
      </c:valAx>
      <c:valAx>
        <c:axId val="661305232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61306672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Real</a:t>
            </a:r>
            <a:r>
              <a:rPr lang="es-PA" baseline="0"/>
              <a:t> Vs Proyectado</a:t>
            </a:r>
            <a:endParaRPr lang="es-P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'Regr. Polimial cubica'!$D$1</c:f>
              <c:strCache>
                <c:ptCount val="1"/>
                <c:pt idx="0">
                  <c:v>Demanda Dt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'Regr. Polimial cubica'!$A$2:$A$69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</c:numCache>
            </c:numRef>
          </c:cat>
          <c:val>
            <c:numRef>
              <c:f>'Regr. Polimial cubica'!$D$2:$D$69</c:f>
              <c:numCache>
                <c:formatCode>General</c:formatCode>
                <c:ptCount val="68"/>
                <c:pt idx="0">
                  <c:v>3223.5839999999998</c:v>
                </c:pt>
                <c:pt idx="1">
                  <c:v>3472.9369999999999</c:v>
                </c:pt>
                <c:pt idx="2">
                  <c:v>3369.4650000000001</c:v>
                </c:pt>
                <c:pt idx="3">
                  <c:v>3601.0940000000001</c:v>
                </c:pt>
                <c:pt idx="4">
                  <c:v>3627.9300000000003</c:v>
                </c:pt>
                <c:pt idx="5">
                  <c:v>3789.5219999999999</c:v>
                </c:pt>
                <c:pt idx="6">
                  <c:v>3793.3879999999999</c:v>
                </c:pt>
                <c:pt idx="7">
                  <c:v>3092.6509999999998</c:v>
                </c:pt>
                <c:pt idx="8">
                  <c:v>3167.471</c:v>
                </c:pt>
                <c:pt idx="9">
                  <c:v>3291.1210000000001</c:v>
                </c:pt>
                <c:pt idx="10">
                  <c:v>3312.029</c:v>
                </c:pt>
                <c:pt idx="11">
                  <c:v>2360.7350000000001</c:v>
                </c:pt>
                <c:pt idx="12">
                  <c:v>2895.9360000000001</c:v>
                </c:pt>
                <c:pt idx="13">
                  <c:v>3115.0299999999997</c:v>
                </c:pt>
                <c:pt idx="14">
                  <c:v>4035.8679999999999</c:v>
                </c:pt>
                <c:pt idx="15">
                  <c:v>2831.4769999999999</c:v>
                </c:pt>
                <c:pt idx="16">
                  <c:v>3900.4079999999999</c:v>
                </c:pt>
                <c:pt idx="17">
                  <c:v>3016.83</c:v>
                </c:pt>
                <c:pt idx="18">
                  <c:v>4165.1149999999998</c:v>
                </c:pt>
                <c:pt idx="19">
                  <c:v>2911.9210000000003</c:v>
                </c:pt>
                <c:pt idx="20">
                  <c:v>3185.0740000000001</c:v>
                </c:pt>
                <c:pt idx="21">
                  <c:v>3265.3599999999997</c:v>
                </c:pt>
                <c:pt idx="22">
                  <c:v>4256.2119999999995</c:v>
                </c:pt>
                <c:pt idx="23">
                  <c:v>3411.14</c:v>
                </c:pt>
                <c:pt idx="24">
                  <c:v>3494.1019999999999</c:v>
                </c:pt>
                <c:pt idx="25">
                  <c:v>3692.1639999999998</c:v>
                </c:pt>
                <c:pt idx="26">
                  <c:v>3714.1660000000002</c:v>
                </c:pt>
                <c:pt idx="27">
                  <c:v>3807.252</c:v>
                </c:pt>
                <c:pt idx="28">
                  <c:v>3889.8969999999999</c:v>
                </c:pt>
                <c:pt idx="29">
                  <c:v>4010.0519999999997</c:v>
                </c:pt>
                <c:pt idx="30">
                  <c:v>3947.6409999999996</c:v>
                </c:pt>
                <c:pt idx="31">
                  <c:v>4314.2849999999999</c:v>
                </c:pt>
                <c:pt idx="32">
                  <c:v>4375.1080000000002</c:v>
                </c:pt>
                <c:pt idx="33">
                  <c:v>4398.5460000000003</c:v>
                </c:pt>
                <c:pt idx="34">
                  <c:v>4257.6869999999999</c:v>
                </c:pt>
                <c:pt idx="35">
                  <c:v>4518.3440000000001</c:v>
                </c:pt>
                <c:pt idx="36">
                  <c:v>4358.7479999999996</c:v>
                </c:pt>
                <c:pt idx="37">
                  <c:v>4560.9520000000002</c:v>
                </c:pt>
                <c:pt idx="38">
                  <c:v>4659.3</c:v>
                </c:pt>
                <c:pt idx="39">
                  <c:v>4750.366</c:v>
                </c:pt>
                <c:pt idx="40">
                  <c:v>4532.5</c:v>
                </c:pt>
                <c:pt idx="41">
                  <c:v>4794.3590000000004</c:v>
                </c:pt>
                <c:pt idx="42">
                  <c:v>4187.83</c:v>
                </c:pt>
                <c:pt idx="43">
                  <c:v>5120.07</c:v>
                </c:pt>
                <c:pt idx="44">
                  <c:v>4755.9179999999997</c:v>
                </c:pt>
                <c:pt idx="45">
                  <c:v>5158.3530000000001</c:v>
                </c:pt>
                <c:pt idx="46">
                  <c:v>5027.1220000000003</c:v>
                </c:pt>
                <c:pt idx="47">
                  <c:v>5410.277</c:v>
                </c:pt>
                <c:pt idx="48">
                  <c:v>5386.6620000000003</c:v>
                </c:pt>
                <c:pt idx="49">
                  <c:v>5543.451</c:v>
                </c:pt>
                <c:pt idx="50">
                  <c:v>5764.6930000000002</c:v>
                </c:pt>
                <c:pt idx="51">
                  <c:v>6170.3580000000002</c:v>
                </c:pt>
                <c:pt idx="52">
                  <c:v>6077.558</c:v>
                </c:pt>
                <c:pt idx="53">
                  <c:v>6345.5069999999996</c:v>
                </c:pt>
                <c:pt idx="54">
                  <c:v>6394.8150000000005</c:v>
                </c:pt>
                <c:pt idx="55">
                  <c:v>5744.5879999999997</c:v>
                </c:pt>
                <c:pt idx="56">
                  <c:v>6680.277</c:v>
                </c:pt>
                <c:pt idx="57">
                  <c:v>4965.5910000000003</c:v>
                </c:pt>
                <c:pt idx="58">
                  <c:v>5070.607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3C-471F-AAD1-BC5843934BB8}"/>
            </c:ext>
          </c:extLst>
        </c:ser>
        <c:ser>
          <c:idx val="1"/>
          <c:order val="1"/>
          <c:tx>
            <c:strRef>
              <c:f>'Regr. Polimial cubica'!$E$1</c:f>
              <c:strCache>
                <c:ptCount val="1"/>
                <c:pt idx="0">
                  <c:v>Y hat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'Regr. Polimial cubica'!$A$2:$A$69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</c:numCache>
            </c:numRef>
          </c:cat>
          <c:val>
            <c:numRef>
              <c:f>'Regr. Polimial cubica'!$E$2:$E$69</c:f>
              <c:numCache>
                <c:formatCode>0</c:formatCode>
                <c:ptCount val="68"/>
                <c:pt idx="0">
                  <c:v>3635.9447768914279</c:v>
                </c:pt>
                <c:pt idx="1">
                  <c:v>3561.5504529681775</c:v>
                </c:pt>
                <c:pt idx="2">
                  <c:v>3495.2496148263294</c:v>
                </c:pt>
                <c:pt idx="3">
                  <c:v>3436.8239235028886</c:v>
                </c:pt>
                <c:pt idx="4">
                  <c:v>3386.055040034862</c:v>
                </c:pt>
                <c:pt idx="5">
                  <c:v>3342.7246254592555</c:v>
                </c:pt>
                <c:pt idx="6">
                  <c:v>3306.6143408130756</c:v>
                </c:pt>
                <c:pt idx="7">
                  <c:v>3277.5058471333286</c:v>
                </c:pt>
                <c:pt idx="8">
                  <c:v>3255.1808054570206</c:v>
                </c:pt>
                <c:pt idx="9">
                  <c:v>3239.4208768211579</c:v>
                </c:pt>
                <c:pt idx="10">
                  <c:v>3230.0077222627465</c:v>
                </c:pt>
                <c:pt idx="11">
                  <c:v>3226.7230028187928</c:v>
                </c:pt>
                <c:pt idx="12">
                  <c:v>3229.3483795263032</c:v>
                </c:pt>
                <c:pt idx="13">
                  <c:v>3237.6655134222838</c:v>
                </c:pt>
                <c:pt idx="14">
                  <c:v>3251.4560655437408</c:v>
                </c:pt>
                <c:pt idx="15">
                  <c:v>3270.5016969276808</c:v>
                </c:pt>
                <c:pt idx="16">
                  <c:v>3294.5840686111096</c:v>
                </c:pt>
                <c:pt idx="17">
                  <c:v>3323.4848416310333</c:v>
                </c:pt>
                <c:pt idx="18">
                  <c:v>3356.9856770244587</c:v>
                </c:pt>
                <c:pt idx="19">
                  <c:v>3394.8682358283922</c:v>
                </c:pt>
                <c:pt idx="20">
                  <c:v>3436.914179079839</c:v>
                </c:pt>
                <c:pt idx="21">
                  <c:v>3482.9051678158062</c:v>
                </c:pt>
                <c:pt idx="22">
                  <c:v>3532.6228630732999</c:v>
                </c:pt>
                <c:pt idx="23">
                  <c:v>3585.848925889326</c:v>
                </c:pt>
                <c:pt idx="24">
                  <c:v>3642.3650173008914</c:v>
                </c:pt>
                <c:pt idx="25">
                  <c:v>3701.9527983450012</c:v>
                </c:pt>
                <c:pt idx="26">
                  <c:v>3764.3939300586635</c:v>
                </c:pt>
                <c:pt idx="27">
                  <c:v>3829.470073478883</c:v>
                </c:pt>
                <c:pt idx="28">
                  <c:v>3896.9628896426661</c:v>
                </c:pt>
                <c:pt idx="29">
                  <c:v>3966.6540395870193</c:v>
                </c:pt>
                <c:pt idx="30">
                  <c:v>4038.3251843489488</c:v>
                </c:pt>
                <c:pt idx="31">
                  <c:v>4111.7579849654612</c:v>
                </c:pt>
                <c:pt idx="32">
                  <c:v>4186.7341024735624</c:v>
                </c:pt>
                <c:pt idx="33">
                  <c:v>4263.0351979102597</c:v>
                </c:pt>
                <c:pt idx="34">
                  <c:v>4340.4429323125569</c:v>
                </c:pt>
                <c:pt idx="35">
                  <c:v>4418.7389667174612</c:v>
                </c:pt>
                <c:pt idx="36">
                  <c:v>4497.7049621619808</c:v>
                </c:pt>
                <c:pt idx="37">
                  <c:v>4577.1225796831204</c:v>
                </c:pt>
                <c:pt idx="38">
                  <c:v>4656.7734803178864</c:v>
                </c:pt>
                <c:pt idx="39">
                  <c:v>4736.4393251032834</c:v>
                </c:pt>
                <c:pt idx="40">
                  <c:v>4815.9017750763196</c:v>
                </c:pt>
                <c:pt idx="41">
                  <c:v>4894.9424912740033</c:v>
                </c:pt>
                <c:pt idx="42">
                  <c:v>4973.3431347333353</c:v>
                </c:pt>
                <c:pt idx="43">
                  <c:v>5050.8853664913258</c:v>
                </c:pt>
                <c:pt idx="44">
                  <c:v>5127.3508475849803</c:v>
                </c:pt>
                <c:pt idx="45">
                  <c:v>5202.5212390513061</c:v>
                </c:pt>
                <c:pt idx="46">
                  <c:v>5276.1782019273069</c:v>
                </c:pt>
                <c:pt idx="47">
                  <c:v>5348.1033972499881</c:v>
                </c:pt>
                <c:pt idx="48">
                  <c:v>5418.0784860563599</c:v>
                </c:pt>
                <c:pt idx="49">
                  <c:v>5485.8851293834286</c:v>
                </c:pt>
                <c:pt idx="50">
                  <c:v>5551.3049882681953</c:v>
                </c:pt>
                <c:pt idx="51">
                  <c:v>5614.1197237476717</c:v>
                </c:pt>
                <c:pt idx="52">
                  <c:v>5674.1109968588607</c:v>
                </c:pt>
                <c:pt idx="53">
                  <c:v>5731.0604686387705</c:v>
                </c:pt>
                <c:pt idx="54">
                  <c:v>5784.7498001244076</c:v>
                </c:pt>
                <c:pt idx="55">
                  <c:v>5834.9606523527746</c:v>
                </c:pt>
                <c:pt idx="56">
                  <c:v>5881.4746863608798</c:v>
                </c:pt>
                <c:pt idx="57">
                  <c:v>5924.0735631857333</c:v>
                </c:pt>
                <c:pt idx="58">
                  <c:v>5962.5389438643379</c:v>
                </c:pt>
                <c:pt idx="59" formatCode="General">
                  <c:v>5996.6524894336962</c:v>
                </c:pt>
                <c:pt idx="60" formatCode="General">
                  <c:v>6026.1958609308203</c:v>
                </c:pt>
                <c:pt idx="61" formatCode="General">
                  <c:v>6050.9507193927129</c:v>
                </c:pt>
                <c:pt idx="62" formatCode="General">
                  <c:v>6070.6987258563859</c:v>
                </c:pt>
                <c:pt idx="63" formatCode="General">
                  <c:v>6085.2215413588365</c:v>
                </c:pt>
                <c:pt idx="64" formatCode="General">
                  <c:v>6094.3008269370785</c:v>
                </c:pt>
                <c:pt idx="65" formatCode="General">
                  <c:v>6097.7182436281128</c:v>
                </c:pt>
                <c:pt idx="66" formatCode="General">
                  <c:v>6095.2554524689531</c:v>
                </c:pt>
                <c:pt idx="67" formatCode="General">
                  <c:v>6086.6941144965967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3C-471F-AAD1-BC5843934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2137360"/>
        <c:axId val="1892137840"/>
      </c:barChart>
      <c:catAx>
        <c:axId val="189213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892137840"/>
        <c:crosses val="autoZero"/>
        <c:auto val="1"/>
        <c:lblAlgn val="ctr"/>
        <c:lblOffset val="100"/>
        <c:noMultiLvlLbl val="0"/>
      </c:catAx>
      <c:valAx>
        <c:axId val="1892137840"/>
        <c:scaling>
          <c:orientation val="minMax"/>
          <c:max val="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89213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ESTIMACIONES DE ERROR DE LOS PRONOSTICOS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 1 Resumen YAUS'!$A$3</c:f>
              <c:strCache>
                <c:ptCount val="1"/>
                <c:pt idx="0">
                  <c:v>Promedio Movil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1 Resumen YAUS'!$B$2:$F$2</c:f>
              <c:strCache>
                <c:ptCount val="5"/>
                <c:pt idx="0">
                  <c:v>MAD</c:v>
                </c:pt>
                <c:pt idx="1">
                  <c:v>MAPE</c:v>
                </c:pt>
                <c:pt idx="2">
                  <c:v>Rango TS inf</c:v>
                </c:pt>
                <c:pt idx="3">
                  <c:v>Rango TS sup</c:v>
                </c:pt>
                <c:pt idx="4">
                  <c:v>Desv.Est</c:v>
                </c:pt>
              </c:strCache>
            </c:strRef>
          </c:cat>
          <c:val>
            <c:numRef>
              <c:f>' 1 Resumen YAUS'!$B$3:$F$3</c:f>
              <c:numCache>
                <c:formatCode>0</c:formatCode>
                <c:ptCount val="5"/>
                <c:pt idx="0">
                  <c:v>264.08944999999994</c:v>
                </c:pt>
                <c:pt idx="1">
                  <c:v>6.5086268364262763</c:v>
                </c:pt>
                <c:pt idx="2">
                  <c:v>-17.125164921382506</c:v>
                </c:pt>
                <c:pt idx="3">
                  <c:v>4.5232173682207222</c:v>
                </c:pt>
                <c:pt idx="4">
                  <c:v>330.11181249999993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67-49B9-9EDF-116C424E9FB2}"/>
            </c:ext>
          </c:extLst>
        </c:ser>
        <c:ser>
          <c:idx val="1"/>
          <c:order val="1"/>
          <c:tx>
            <c:strRef>
              <c:f>' 1 Resumen YAUS'!$A$4</c:f>
              <c:strCache>
                <c:ptCount val="1"/>
                <c:pt idx="0">
                  <c:v>Suavisacion Expo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 1 Resumen YAUS'!$B$2:$F$2</c:f>
              <c:strCache>
                <c:ptCount val="5"/>
                <c:pt idx="0">
                  <c:v>MAD</c:v>
                </c:pt>
                <c:pt idx="1">
                  <c:v>MAPE</c:v>
                </c:pt>
                <c:pt idx="2">
                  <c:v>Rango TS inf</c:v>
                </c:pt>
                <c:pt idx="3">
                  <c:v>Rango TS sup</c:v>
                </c:pt>
                <c:pt idx="4">
                  <c:v>Desv.Est</c:v>
                </c:pt>
              </c:strCache>
            </c:strRef>
          </c:cat>
          <c:val>
            <c:numRef>
              <c:f>' 1 Resumen YAUS'!$B$4:$F$4</c:f>
              <c:numCache>
                <c:formatCode>0</c:formatCode>
                <c:ptCount val="5"/>
                <c:pt idx="0">
                  <c:v>352.33412100058428</c:v>
                </c:pt>
                <c:pt idx="1">
                  <c:v>8.7729287510314506</c:v>
                </c:pt>
                <c:pt idx="2">
                  <c:v>-13.810984477647981</c:v>
                </c:pt>
                <c:pt idx="3">
                  <c:v>9.8074270069154554</c:v>
                </c:pt>
                <c:pt idx="4">
                  <c:v>440.41765125073033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67-49B9-9EDF-116C424E9FB2}"/>
            </c:ext>
          </c:extLst>
        </c:ser>
        <c:ser>
          <c:idx val="2"/>
          <c:order val="2"/>
          <c:tx>
            <c:strRef>
              <c:f>' 1 Resumen YAUS'!$A$5</c:f>
              <c:strCache>
                <c:ptCount val="1"/>
                <c:pt idx="0">
                  <c:v>Holt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 1 Resumen YAUS'!$B$2:$F$2</c:f>
              <c:strCache>
                <c:ptCount val="5"/>
                <c:pt idx="0">
                  <c:v>MAD</c:v>
                </c:pt>
                <c:pt idx="1">
                  <c:v>MAPE</c:v>
                </c:pt>
                <c:pt idx="2">
                  <c:v>Rango TS inf</c:v>
                </c:pt>
                <c:pt idx="3">
                  <c:v>Rango TS sup</c:v>
                </c:pt>
                <c:pt idx="4">
                  <c:v>Desv.Est</c:v>
                </c:pt>
              </c:strCache>
            </c:strRef>
          </c:cat>
          <c:val>
            <c:numRef>
              <c:f>' 1 Resumen YAUS'!$B$5:$F$5</c:f>
              <c:numCache>
                <c:formatCode>0</c:formatCode>
                <c:ptCount val="5"/>
                <c:pt idx="0">
                  <c:v>334.48685161581989</c:v>
                </c:pt>
                <c:pt idx="1">
                  <c:v>8.7121627796295549</c:v>
                </c:pt>
                <c:pt idx="2">
                  <c:v>-6.9999999999999991</c:v>
                </c:pt>
                <c:pt idx="3">
                  <c:v>2.6488468084894272</c:v>
                </c:pt>
                <c:pt idx="4">
                  <c:v>418.10856451977486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67-49B9-9EDF-116C424E9FB2}"/>
            </c:ext>
          </c:extLst>
        </c:ser>
        <c:ser>
          <c:idx val="3"/>
          <c:order val="3"/>
          <c:tx>
            <c:strRef>
              <c:f>' 1 Resumen YAUS'!$A$6</c:f>
              <c:strCache>
                <c:ptCount val="1"/>
                <c:pt idx="0">
                  <c:v>Polinomial grado 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 1 Resumen YAUS'!$B$2:$F$2</c:f>
              <c:strCache>
                <c:ptCount val="5"/>
                <c:pt idx="0">
                  <c:v>MAD</c:v>
                </c:pt>
                <c:pt idx="1">
                  <c:v>MAPE</c:v>
                </c:pt>
                <c:pt idx="2">
                  <c:v>Rango TS inf</c:v>
                </c:pt>
                <c:pt idx="3">
                  <c:v>Rango TS sup</c:v>
                </c:pt>
                <c:pt idx="4">
                  <c:v>Desv.Est</c:v>
                </c:pt>
              </c:strCache>
            </c:strRef>
          </c:cat>
          <c:val>
            <c:numRef>
              <c:f>' 1 Resumen YAUS'!$B$6:$F$6</c:f>
              <c:numCache>
                <c:formatCode>0</c:formatCode>
                <c:ptCount val="5"/>
                <c:pt idx="0">
                  <c:v>20.826869423239042</c:v>
                </c:pt>
                <c:pt idx="1">
                  <c:v>7.9403764208860741</c:v>
                </c:pt>
                <c:pt idx="2">
                  <c:v>-521.76898812789091</c:v>
                </c:pt>
                <c:pt idx="3">
                  <c:v>2920.7361495895339</c:v>
                </c:pt>
                <c:pt idx="4">
                  <c:v>26.033586779048804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67-49B9-9EDF-116C424E9FB2}"/>
            </c:ext>
          </c:extLst>
        </c:ser>
        <c:ser>
          <c:idx val="4"/>
          <c:order val="4"/>
          <c:tx>
            <c:strRef>
              <c:f>' 1 Resumen YAUS'!$A$7</c:f>
              <c:strCache>
                <c:ptCount val="1"/>
                <c:pt idx="0">
                  <c:v>Polinomial grado 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 1 Resumen YAUS'!$B$2:$F$2</c:f>
              <c:strCache>
                <c:ptCount val="5"/>
                <c:pt idx="0">
                  <c:v>MAD</c:v>
                </c:pt>
                <c:pt idx="1">
                  <c:v>MAPE</c:v>
                </c:pt>
                <c:pt idx="2">
                  <c:v>Rango TS inf</c:v>
                </c:pt>
                <c:pt idx="3">
                  <c:v>Rango TS sup</c:v>
                </c:pt>
                <c:pt idx="4">
                  <c:v>Desv.Est</c:v>
                </c:pt>
              </c:strCache>
            </c:strRef>
          </c:cat>
          <c:val>
            <c:numRef>
              <c:f>' 1 Resumen YAUS'!$B$7:$F$7</c:f>
              <c:numCache>
                <c:formatCode>0</c:formatCode>
                <c:ptCount val="5"/>
                <c:pt idx="0">
                  <c:v>287.00241161542124</c:v>
                </c:pt>
                <c:pt idx="1">
                  <c:v>7.0702961689073343</c:v>
                </c:pt>
                <c:pt idx="2">
                  <c:v>-3.0187995531590257</c:v>
                </c:pt>
                <c:pt idx="3">
                  <c:v>3.4655732006169169</c:v>
                </c:pt>
                <c:pt idx="4">
                  <c:v>358.75301451927658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67-49B9-9EDF-116C424E9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02511168"/>
        <c:axId val="802513088"/>
      </c:barChart>
      <c:catAx>
        <c:axId val="802511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802513088"/>
        <c:crosses val="autoZero"/>
        <c:auto val="1"/>
        <c:lblAlgn val="ctr"/>
        <c:lblOffset val="100"/>
        <c:noMultiLvlLbl val="0"/>
      </c:catAx>
      <c:valAx>
        <c:axId val="80251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80251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'Quarter Analys US'!$B$1</c:f>
              <c:strCache>
                <c:ptCount val="1"/>
                <c:pt idx="0">
                  <c:v>Q1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095389074148436"/>
                  <c:y val="-0.115821957548189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A"/>
                </a:p>
              </c:txPr>
            </c:trendlineLbl>
          </c:trendline>
          <c:xVal>
            <c:numRef>
              <c:f>'Quarter Analys US'!$A$2:$A$16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xVal>
          <c:yVal>
            <c:numRef>
              <c:f>'Quarter Analys US'!$B$2:$B$16</c:f>
              <c:numCache>
                <c:formatCode>General</c:formatCode>
                <c:ptCount val="15"/>
                <c:pt idx="0">
                  <c:v>3071.5839999999998</c:v>
                </c:pt>
                <c:pt idx="1">
                  <c:v>3459.93</c:v>
                </c:pt>
                <c:pt idx="2">
                  <c:v>2956.471</c:v>
                </c:pt>
                <c:pt idx="3">
                  <c:v>2646.9360000000001</c:v>
                </c:pt>
                <c:pt idx="4">
                  <c:v>3664.4080000000004</c:v>
                </c:pt>
                <c:pt idx="5">
                  <c:v>2916.0740000000001</c:v>
                </c:pt>
                <c:pt idx="6">
                  <c:v>3201.1019999999999</c:v>
                </c:pt>
                <c:pt idx="7">
                  <c:v>3566.8969999999999</c:v>
                </c:pt>
                <c:pt idx="8">
                  <c:v>4043.1080000000002</c:v>
                </c:pt>
                <c:pt idx="9">
                  <c:v>3998.748</c:v>
                </c:pt>
                <c:pt idx="10">
                  <c:v>4150.5</c:v>
                </c:pt>
                <c:pt idx="11">
                  <c:v>4337.9179999999997</c:v>
                </c:pt>
                <c:pt idx="12">
                  <c:v>4924.6620000000003</c:v>
                </c:pt>
                <c:pt idx="13">
                  <c:v>5539.558</c:v>
                </c:pt>
                <c:pt idx="14">
                  <c:v>6104.277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E7-4A6B-88C4-2E17080C34F3}"/>
            </c:ext>
          </c:extLst>
        </c:ser>
        <c:ser>
          <c:idx val="1"/>
          <c:order val="1"/>
          <c:tx>
            <c:strRef>
              <c:f>'Quarter Analys US'!$C$1</c:f>
              <c:strCache>
                <c:ptCount val="1"/>
                <c:pt idx="0">
                  <c:v>Q2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804923442219391"/>
                  <c:y val="3.67601472235494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A"/>
                </a:p>
              </c:txPr>
            </c:trendlineLbl>
          </c:trendline>
          <c:xVal>
            <c:numRef>
              <c:f>'Quarter Analys US'!$A$2:$A$16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xVal>
          <c:yVal>
            <c:numRef>
              <c:f>'Quarter Analys US'!$C$2:$C$16</c:f>
              <c:numCache>
                <c:formatCode>General</c:formatCode>
                <c:ptCount val="15"/>
                <c:pt idx="0">
                  <c:v>3311.9369999999999</c:v>
                </c:pt>
                <c:pt idx="1">
                  <c:v>3598.5219999999999</c:v>
                </c:pt>
                <c:pt idx="2">
                  <c:v>3054.1210000000001</c:v>
                </c:pt>
                <c:pt idx="3">
                  <c:v>2834.0299999999997</c:v>
                </c:pt>
                <c:pt idx="4">
                  <c:v>2750.83</c:v>
                </c:pt>
                <c:pt idx="5">
                  <c:v>2984.36</c:v>
                </c:pt>
                <c:pt idx="6">
                  <c:v>3374.1639999999998</c:v>
                </c:pt>
                <c:pt idx="7">
                  <c:v>3674.0519999999997</c:v>
                </c:pt>
                <c:pt idx="8">
                  <c:v>4045.5460000000003</c:v>
                </c:pt>
                <c:pt idx="9">
                  <c:v>4170.9520000000002</c:v>
                </c:pt>
                <c:pt idx="10">
                  <c:v>4381.3590000000004</c:v>
                </c:pt>
                <c:pt idx="11">
                  <c:v>4691.3530000000001</c:v>
                </c:pt>
                <c:pt idx="12">
                  <c:v>5034.451</c:v>
                </c:pt>
                <c:pt idx="13">
                  <c:v>5764.5069999999996</c:v>
                </c:pt>
                <c:pt idx="14">
                  <c:v>4345.5910000000003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E7-4A6B-88C4-2E17080C34F3}"/>
            </c:ext>
          </c:extLst>
        </c:ser>
        <c:ser>
          <c:idx val="2"/>
          <c:order val="2"/>
          <c:tx>
            <c:strRef>
              <c:f>'Quarter Analys US'!$D$1</c:f>
              <c:strCache>
                <c:ptCount val="1"/>
                <c:pt idx="0">
                  <c:v>Q3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72772666166174"/>
                  <c:y val="-6.60733542378973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A"/>
                </a:p>
              </c:txPr>
            </c:trendlineLbl>
          </c:trendline>
          <c:xVal>
            <c:numRef>
              <c:f>'Quarter Analys US'!$A$2:$A$16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xVal>
          <c:yVal>
            <c:numRef>
              <c:f>'Quarter Analys US'!$D$2:$D$16</c:f>
              <c:numCache>
                <c:formatCode>General</c:formatCode>
                <c:ptCount val="15"/>
                <c:pt idx="0">
                  <c:v>3211.4650000000001</c:v>
                </c:pt>
                <c:pt idx="1">
                  <c:v>3606.3879999999999</c:v>
                </c:pt>
                <c:pt idx="2">
                  <c:v>3083.0290000000005</c:v>
                </c:pt>
                <c:pt idx="3">
                  <c:v>3784.8679999999999</c:v>
                </c:pt>
                <c:pt idx="4">
                  <c:v>3906.1149999999998</c:v>
                </c:pt>
                <c:pt idx="5">
                  <c:v>3986.212</c:v>
                </c:pt>
                <c:pt idx="6">
                  <c:v>3413.1660000000002</c:v>
                </c:pt>
                <c:pt idx="7">
                  <c:v>3632.6410000000001</c:v>
                </c:pt>
                <c:pt idx="8">
                  <c:v>3919.6869999999999</c:v>
                </c:pt>
                <c:pt idx="9">
                  <c:v>4275.3</c:v>
                </c:pt>
                <c:pt idx="10">
                  <c:v>3781.83</c:v>
                </c:pt>
                <c:pt idx="11">
                  <c:v>4579.1219999999994</c:v>
                </c:pt>
                <c:pt idx="12">
                  <c:v>5272.6930000000002</c:v>
                </c:pt>
                <c:pt idx="13">
                  <c:v>5849.8150000000005</c:v>
                </c:pt>
                <c:pt idx="14">
                  <c:v>4465.607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E7-4A6B-88C4-2E17080C34F3}"/>
            </c:ext>
          </c:extLst>
        </c:ser>
        <c:ser>
          <c:idx val="3"/>
          <c:order val="3"/>
          <c:tx>
            <c:strRef>
              <c:f>'Quarter Analys US'!$E$1</c:f>
              <c:strCache>
                <c:ptCount val="1"/>
                <c:pt idx="0">
                  <c:v>Q4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095389074148436"/>
                  <c:y val="-0.209631831483188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A"/>
                </a:p>
              </c:txPr>
            </c:trendlineLbl>
          </c:trendline>
          <c:xVal>
            <c:numRef>
              <c:f>'Quarter Analys US'!$A$2:$A$16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xVal>
          <c:yVal>
            <c:numRef>
              <c:f>'Quarter Analys US'!$E$2:$E$16</c:f>
              <c:numCache>
                <c:formatCode>General</c:formatCode>
                <c:ptCount val="15"/>
                <c:pt idx="0">
                  <c:v>3434.0940000000001</c:v>
                </c:pt>
                <c:pt idx="1">
                  <c:v>2900.6509999999998</c:v>
                </c:pt>
                <c:pt idx="2">
                  <c:v>2115.7350000000001</c:v>
                </c:pt>
                <c:pt idx="3">
                  <c:v>2588.4769999999999</c:v>
                </c:pt>
                <c:pt idx="4">
                  <c:v>2641.9210000000003</c:v>
                </c:pt>
                <c:pt idx="5">
                  <c:v>3127.14</c:v>
                </c:pt>
                <c:pt idx="6">
                  <c:v>3500.252</c:v>
                </c:pt>
                <c:pt idx="7">
                  <c:v>3994.2849999999999</c:v>
                </c:pt>
                <c:pt idx="8">
                  <c:v>4164.3440000000001</c:v>
                </c:pt>
                <c:pt idx="9">
                  <c:v>4398.366</c:v>
                </c:pt>
                <c:pt idx="10">
                  <c:v>4720.07</c:v>
                </c:pt>
                <c:pt idx="11">
                  <c:v>4967.277</c:v>
                </c:pt>
                <c:pt idx="12">
                  <c:v>5664.3580000000002</c:v>
                </c:pt>
                <c:pt idx="13">
                  <c:v>5195.5879999999997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CE7-4A6B-88C4-2E17080C3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8730752"/>
        <c:axId val="1108731712"/>
      </c:scatterChart>
      <c:valAx>
        <c:axId val="110873075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108731712"/>
        <c:crosses val="autoZero"/>
        <c:crossBetween val="midCat"/>
      </c:valAx>
      <c:valAx>
        <c:axId val="1108731712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108730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415929605251672"/>
          <c:y val="0.49856317877662665"/>
          <c:w val="0.13632850882553207"/>
          <c:h val="0.426206507726352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Frecuencia relativa de los datos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Frecuencia relativa de los datos </a:t>
          </a:r>
        </a:p>
      </cx:txPr>
    </cx:title>
    <cx:plotArea>
      <cx:plotAreaRegion>
        <cx:series layoutId="clusteredColumn" uniqueId="{0D88466C-C427-4468-A24B-C5C60E36B7D6}" formatIdx="0">
          <cx:tx>
            <cx:txData>
              <cx:f>_xlchart.v1.1</cx:f>
              <cx:v>Total US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  <cx:series layoutId="clusteredColumn" hidden="1" uniqueId="{3F7C39BB-62A4-44AE-977B-C25869FFB313}" formatIdx="1">
          <cx:tx>
            <cx:txData>
              <cx:f>_xlchart.v1.3</cx:f>
              <cx:v>Periodo </cx:v>
            </cx:txData>
          </cx:tx>
          <cx:dataLabels pos="outEnd"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majorTickMarks type="out"/>
        <cx:tickLabels/>
      </cx:axis>
      <cx:axis id="1" hidden="1">
        <cx:valScaling/>
        <cx:maj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image" Target="../media/image1.png"/><Relationship Id="rId1" Type="http://schemas.openxmlformats.org/officeDocument/2006/relationships/chart" Target="../charts/chart12.xml"/><Relationship Id="rId4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</xdr:colOff>
      <xdr:row>2</xdr:row>
      <xdr:rowOff>152400</xdr:rowOff>
    </xdr:from>
    <xdr:to>
      <xdr:col>8</xdr:col>
      <xdr:colOff>981074</xdr:colOff>
      <xdr:row>28</xdr:row>
      <xdr:rowOff>130175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9293623-D66F-ABDE-E465-DFBB97BED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20</xdr:row>
      <xdr:rowOff>28575</xdr:rowOff>
    </xdr:from>
    <xdr:to>
      <xdr:col>17</xdr:col>
      <xdr:colOff>742950</xdr:colOff>
      <xdr:row>46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14F0BAB-73D9-0008-6F1A-82A60D033F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568325</xdr:colOff>
      <xdr:row>1</xdr:row>
      <xdr:rowOff>123825</xdr:rowOff>
    </xdr:from>
    <xdr:to>
      <xdr:col>13</xdr:col>
      <xdr:colOff>568325</xdr:colOff>
      <xdr:row>16</xdr:row>
      <xdr:rowOff>149225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D7940BF-61B9-E825-E2A5-C588117F2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44450</xdr:colOff>
      <xdr:row>18</xdr:row>
      <xdr:rowOff>95249</xdr:rowOff>
    </xdr:from>
    <xdr:to>
      <xdr:col>20</xdr:col>
      <xdr:colOff>209550</xdr:colOff>
      <xdr:row>33</xdr:row>
      <xdr:rowOff>152399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E88EB9F-F293-8785-A312-6AF5BC2888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82551</xdr:colOff>
      <xdr:row>1</xdr:row>
      <xdr:rowOff>82550</xdr:rowOff>
    </xdr:from>
    <xdr:to>
      <xdr:col>20</xdr:col>
      <xdr:colOff>276225</xdr:colOff>
      <xdr:row>16</xdr:row>
      <xdr:rowOff>123825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2E4A1786-BF30-952B-21AE-D2DA68BAE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92075</xdr:colOff>
      <xdr:row>19</xdr:row>
      <xdr:rowOff>9525</xdr:rowOff>
    </xdr:from>
    <xdr:to>
      <xdr:col>7</xdr:col>
      <xdr:colOff>409575</xdr:colOff>
      <xdr:row>34</xdr:row>
      <xdr:rowOff>38100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71FC24A1-4546-D563-DE22-C93598A366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504825</xdr:colOff>
      <xdr:row>18</xdr:row>
      <xdr:rowOff>133350</xdr:rowOff>
    </xdr:from>
    <xdr:to>
      <xdr:col>13</xdr:col>
      <xdr:colOff>504825</xdr:colOff>
      <xdr:row>33</xdr:row>
      <xdr:rowOff>158750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265B1A3-9A9D-BF19-07FB-937D93F9F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273050</xdr:colOff>
      <xdr:row>19</xdr:row>
      <xdr:rowOff>104775</xdr:rowOff>
    </xdr:from>
    <xdr:to>
      <xdr:col>9</xdr:col>
      <xdr:colOff>438150</xdr:colOff>
      <xdr:row>36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60D276B-4D4E-E568-21C5-CA6D246166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558801</xdr:colOff>
      <xdr:row>1</xdr:row>
      <xdr:rowOff>38100</xdr:rowOff>
    </xdr:from>
    <xdr:to>
      <xdr:col>18</xdr:col>
      <xdr:colOff>111125</xdr:colOff>
      <xdr:row>26</xdr:row>
      <xdr:rowOff>15875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D8C8CF3-27B7-4503-8721-089A803355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561976</xdr:colOff>
      <xdr:row>1</xdr:row>
      <xdr:rowOff>25400</xdr:rowOff>
    </xdr:from>
    <xdr:to>
      <xdr:col>18</xdr:col>
      <xdr:colOff>114300</xdr:colOff>
      <xdr:row>26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F2D854-761A-4709-30C4-E4D66A156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581023</xdr:colOff>
      <xdr:row>19</xdr:row>
      <xdr:rowOff>34925</xdr:rowOff>
    </xdr:from>
    <xdr:to>
      <xdr:col>11</xdr:col>
      <xdr:colOff>933449</xdr:colOff>
      <xdr:row>43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F25F09-39C5-4D33-F13D-2C9EB11AC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492125</xdr:colOff>
      <xdr:row>23</xdr:row>
      <xdr:rowOff>114300</xdr:rowOff>
    </xdr:from>
    <xdr:to>
      <xdr:col>20</xdr:col>
      <xdr:colOff>161924</xdr:colOff>
      <xdr:row>45</xdr:row>
      <xdr:rowOff>82550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ACB16B8-8669-992C-1725-0A22D9DAF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581025</xdr:colOff>
      <xdr:row>24</xdr:row>
      <xdr:rowOff>44450</xdr:rowOff>
    </xdr:from>
    <xdr:to>
      <xdr:col>11</xdr:col>
      <xdr:colOff>563389</xdr:colOff>
      <xdr:row>33</xdr:row>
      <xdr:rowOff>28437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A6E8E2-36A4-4E4A-9A1E-723B671AD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67175" y="4387850"/>
          <a:ext cx="5316364" cy="1612762"/>
        </a:xfrm>
        <a:prstGeom prst="rect">
          <a:avLst/>
        </a:prstGeom>
      </xdr:spPr>
    </xdr:pic>
    <xdr:clientData/>
  </xdr:twoCellAnchor>
  <xdr:twoCellAnchor>
    <xdr:from>
      <xdr:col>4</xdr:col>
      <xdr:colOff>246061</xdr:colOff>
      <xdr:row>1</xdr:row>
      <xdr:rowOff>47625</xdr:rowOff>
    </xdr:from>
    <xdr:to>
      <xdr:col>12</xdr:col>
      <xdr:colOff>244475</xdr:colOff>
      <xdr:row>20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6C7D1E15-66A6-101A-36E0-484F91AA0B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32211" y="231775"/>
              <a:ext cx="6094414" cy="3546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A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12</xdr:col>
      <xdr:colOff>487361</xdr:colOff>
      <xdr:row>1</xdr:row>
      <xdr:rowOff>28575</xdr:rowOff>
    </xdr:from>
    <xdr:to>
      <xdr:col>20</xdr:col>
      <xdr:colOff>133349</xdr:colOff>
      <xdr:row>23</xdr:row>
      <xdr:rowOff>38100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4D88385-5F25-C98F-C122-1EB77CA5A1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476250</xdr:colOff>
      <xdr:row>11</xdr:row>
      <xdr:rowOff>95250</xdr:rowOff>
    </xdr:from>
    <xdr:to>
      <xdr:col>21</xdr:col>
      <xdr:colOff>12699</xdr:colOff>
      <xdr:row>33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4054E5-9314-4EDA-A3EB-C6C5D62B41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215900</xdr:colOff>
      <xdr:row>70</xdr:row>
      <xdr:rowOff>76200</xdr:rowOff>
    </xdr:from>
    <xdr:to>
      <xdr:col>14</xdr:col>
      <xdr:colOff>409575</xdr:colOff>
      <xdr:row>99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3E84D7-C29B-D553-2651-861CCBA519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141286</xdr:colOff>
      <xdr:row>0</xdr:row>
      <xdr:rowOff>152401</xdr:rowOff>
    </xdr:from>
    <xdr:to>
      <xdr:col>17</xdr:col>
      <xdr:colOff>571500</xdr:colOff>
      <xdr:row>28</xdr:row>
      <xdr:rowOff>44451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FEFD16-E219-5FC9-CB18-A8B4FCCB1D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0</xdr:row>
      <xdr:rowOff>104774</xdr:rowOff>
    </xdr:from>
    <xdr:to>
      <xdr:col>14</xdr:col>
      <xdr:colOff>739775</xdr:colOff>
      <xdr:row>22</xdr:row>
      <xdr:rowOff>149225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255F61D-88B9-00B2-3B4D-10494FA82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s Flores" refreshedDate="45457.106197685185" createdVersion="8" refreshedVersion="8" minRefreshableVersion="3" recordCount="59" xr:uid="{A7B463EF-38AC-41CE-BEB7-B95EB5BE0473}">
  <cacheSource type="worksheet">
    <worksheetSource name="Tabla4"/>
  </cacheSource>
  <cacheFields count="21">
    <cacheField name="Periodo" numFmtId="0">
      <sharedItems count="59">
        <s v="Q1 2005"/>
        <s v="Q2 2005"/>
        <s v="Q3 2005"/>
        <s v="Q4 2005"/>
        <s v="Q1 2006"/>
        <s v="Q2 2006"/>
        <s v="Q3 2006"/>
        <s v="Q4 2006"/>
        <s v="Q1 2007"/>
        <s v="Q2 2007"/>
        <s v="Q3 2007"/>
        <s v="Q4 2007"/>
        <s v="Q1 2008"/>
        <s v="Q2 2008"/>
        <s v="Q3 2008"/>
        <s v="Q4 2008"/>
        <s v="Q1 2009"/>
        <s v="Q2 2009"/>
        <s v="Q3 2009"/>
        <s v="Q4 2009"/>
        <s v="Q1 2010"/>
        <s v="Q2 2010"/>
        <s v="Q3 2010"/>
        <s v="Q4 2010"/>
        <s v="Q1 2011"/>
        <s v="Q2 2011"/>
        <s v="Q3 2011"/>
        <s v="Q4 2011"/>
        <s v="Q1 2012"/>
        <s v="Q2 2012"/>
        <s v="Q3 2012"/>
        <s v="Q4 2012"/>
        <s v="Q1 2013"/>
        <s v="Q2 2013"/>
        <s v="Q3 2013"/>
        <s v="Q4 2013"/>
        <s v="Q1 2014"/>
        <s v="Q2 2014"/>
        <s v="Q3 2014"/>
        <s v="Q4 2014"/>
        <s v="Q1 2015"/>
        <s v="Q2 2015"/>
        <s v="Q3 2015"/>
        <s v="Q4 2015"/>
        <s v="Q1 2016"/>
        <s v="Q2 2016"/>
        <s v="Q3 2016"/>
        <s v="Q4 2016"/>
        <s v="Q1 2017"/>
        <s v="Q2 2017"/>
        <s v="Q3 2017"/>
        <s v="Q4 2017"/>
        <s v="Q1 2018"/>
        <s v="Q2 2018"/>
        <s v="Q3 2018"/>
        <s v="Q4 2018"/>
        <s v="Q1 2019"/>
        <s v="Q2 2019"/>
        <s v="Q3 2019"/>
      </sharedItems>
    </cacheField>
    <cacheField name="Cuatrimestre" numFmtId="0">
      <sharedItems count="4">
        <s v="Q1"/>
        <s v="Q2"/>
        <s v="Q3"/>
        <s v="Q4"/>
      </sharedItems>
    </cacheField>
    <cacheField name="Año" numFmtId="0">
      <sharedItems count="15">
        <s v=" 2005"/>
        <s v=" 2006"/>
        <s v=" 2007"/>
        <s v=" 2008"/>
        <s v=" 2009"/>
        <s v=" 2010"/>
        <s v=" 2011"/>
        <s v=" 2012"/>
        <s v=" 2013"/>
        <s v=" 2014"/>
        <s v=" 2015"/>
        <s v=" 2016"/>
        <s v=" 2017"/>
        <s v=" 2018"/>
        <s v=" 2019"/>
      </sharedItems>
    </cacheField>
    <cacheField name="Abbott Lab" numFmtId="2">
      <sharedItems containsSemiMixedTypes="0" containsString="0" containsNumber="1" minValue="3.1880000000000002" maxValue="10.377000000000001"/>
    </cacheField>
    <cacheField name="Stryker" numFmtId="2">
      <sharedItems containsSemiMixedTypes="0" containsString="0" containsNumber="1" minValue="1.016" maxValue="3.7959999999999998"/>
    </cacheField>
    <cacheField name="Boston Scientific" numFmtId="2">
      <sharedItems containsSemiMixedTypes="0" containsString="0" containsNumber="1" minValue="1.5109999999999999" maxValue="2.7069999999999999"/>
    </cacheField>
    <cacheField name="Baxter" numFmtId="2">
      <sharedItems containsSemiMixedTypes="0" containsString="0" containsNumber="1" minValue="2.375" maxValue="4.3220000000000001"/>
    </cacheField>
    <cacheField name="Zimmer Biomet" numFmtId="2">
      <sharedItems containsSemiMixedTypes="0" containsString="0" containsNumber="1" minValue="1.02" maxValue="993"/>
    </cacheField>
    <cacheField name="ResMed" numFmtId="2">
      <sharedItems containsSemiMixedTypes="0" containsString="0" containsNumber="1" containsInteger="1" minValue="108" maxValue="705"/>
    </cacheField>
    <cacheField name="Insulet" numFmtId="2">
      <sharedItems containsMixedTypes="1" containsNumber="1" containsInteger="1" minValue="0" maxValue="192"/>
    </cacheField>
    <cacheField name="Bio-Rad Lab" numFmtId="2">
      <sharedItems containsSemiMixedTypes="0" containsString="0" containsNumber="1" containsInteger="1" minValue="283" maxValue="621"/>
    </cacheField>
    <cacheField name="Hologic" numFmtId="2">
      <sharedItems containsMixedTypes="1" containsNumber="1" containsInteger="1" minValue="69" maxValue="852"/>
    </cacheField>
    <cacheField name="Thermo Fisher Scientific" numFmtId="2">
      <sharedItems containsSemiMixedTypes="0" containsString="0" containsNumber="1" minValue="1.669" maxValue="741"/>
    </cacheField>
    <cacheField name="Intuitive Surgical" numFmtId="2">
      <sharedItems containsSemiMixedTypes="0" containsString="0" containsNumber="1" minValue="1.0469999999999999" maxValue="974"/>
    </cacheField>
    <cacheField name="Edward Lifescience" numFmtId="2">
      <sharedItems containsSemiMixedTypes="0" containsString="0" containsNumber="1" minValue="1.087" maxValue="993"/>
    </cacheField>
    <cacheField name="IDEXX Lab" numFmtId="2">
      <sharedItems containsSemiMixedTypes="0" containsString="0" containsNumber="1" containsInteger="1" minValue="152" maxValue="620"/>
    </cacheField>
    <cacheField name="DexCom" numFmtId="2">
      <sharedItems containsMixedTypes="1" containsNumber="1" containsInteger="1" minValue="1" maxValue="396"/>
    </cacheField>
    <cacheField name="Teleflex" numFmtId="2">
      <sharedItems containsSemiMixedTypes="0" containsString="0" containsNumber="1" containsInteger="1" minValue="115" maxValue="657"/>
    </cacheField>
    <cacheField name="Varian Medical" numFmtId="2">
      <sharedItems containsSemiMixedTypes="0" containsString="0" containsNumber="1" containsInteger="1" minValue="209" maxValue="879"/>
    </cacheField>
    <cacheField name="Masimo" numFmtId="2">
      <sharedItems containsMixedTypes="1" containsNumber="1" containsInteger="1" minValue="56" maxValue="232"/>
    </cacheField>
    <cacheField name="Campo1" numFmtId="0" formula="Periodo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s Flores" refreshedDate="45457.106201041664" createdVersion="8" refreshedVersion="8" minRefreshableVersion="3" recordCount="59" xr:uid="{0C9AB101-5C8D-4BA8-906C-C608BC16E27F}">
  <cacheSource type="worksheet">
    <worksheetSource name="Tabla5"/>
  </cacheSource>
  <cacheFields count="7">
    <cacheField name="Periodo" numFmtId="49">
      <sharedItems/>
    </cacheField>
    <cacheField name="Cuatrimestre" numFmtId="0">
      <sharedItems count="4">
        <s v="Q1"/>
        <s v="Q2"/>
        <s v="Q3"/>
        <s v="Q4"/>
      </sharedItems>
    </cacheField>
    <cacheField name="Año" numFmtId="0">
      <sharedItems count="15">
        <s v=" 2005"/>
        <s v=" 2006"/>
        <s v=" 2007"/>
        <s v=" 2008"/>
        <s v=" 2009"/>
        <s v=" 2010"/>
        <s v=" 2011"/>
        <s v=" 2012"/>
        <s v=" 2013"/>
        <s v=" 2014"/>
        <s v=" 2015"/>
        <s v=" 2016"/>
        <s v=" 2017"/>
        <s v=" 2018"/>
        <s v=" 2019"/>
      </sharedItems>
    </cacheField>
    <cacheField name="Medtronic" numFmtId="2">
      <sharedItems containsSemiMixedTypes="0" containsString="0" containsNumber="1" minValue="2.5310000000000001" maxValue="8.1460000000000008"/>
    </cacheField>
    <cacheField name="Smith &amp; Nephew" numFmtId="2">
      <sharedItems containsMixedTypes="1" containsNumber="1" minValue="1" maxValue="995"/>
    </cacheField>
    <cacheField name="Fresenius Medical Care" numFmtId="2">
      <sharedItems containsSemiMixedTypes="0" containsString="0" containsNumber="1" minValue="1.609" maxValue="5.2389999999999999"/>
    </cacheField>
    <cacheField name="STERIS" numFmtId="2">
      <sharedItems containsSemiMixedTypes="0" containsString="0" containsNumber="1" containsInteger="1" minValue="189" maxValue="7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x v="0"/>
    <x v="0"/>
    <x v="0"/>
    <n v="5.383"/>
    <n v="1.2030000000000001"/>
    <n v="1.615"/>
    <n v="2.383"/>
    <n v="829"/>
    <n v="108"/>
    <s v=""/>
    <n v="299"/>
    <s v=""/>
    <n v="559"/>
    <n v="42"/>
    <n v="249"/>
    <n v="152"/>
    <s v=""/>
    <n v="624"/>
    <n v="351"/>
    <s v=""/>
  </r>
  <r>
    <x v="1"/>
    <x v="1"/>
    <x v="0"/>
    <n v="5.524"/>
    <n v="1.2190000000000001"/>
    <n v="1.617"/>
    <n v="2.577"/>
    <n v="847"/>
    <n v="125"/>
    <s v=""/>
    <n v="291"/>
    <n v="69"/>
    <n v="654"/>
    <n v="53"/>
    <n v="258"/>
    <n v="161"/>
    <s v=""/>
    <n v="657"/>
    <n v="347"/>
    <s v=""/>
  </r>
  <r>
    <x v="2"/>
    <x v="2"/>
    <x v="0"/>
    <n v="5.3840000000000003"/>
    <n v="1.1719999999999999"/>
    <n v="1.5109999999999999"/>
    <n v="2.3980000000000001"/>
    <n v="763"/>
    <n v="127"/>
    <s v=""/>
    <n v="283"/>
    <n v="74"/>
    <n v="679"/>
    <n v="61"/>
    <n v="241"/>
    <n v="158"/>
    <s v=""/>
    <n v="587"/>
    <n v="386"/>
    <s v=""/>
  </r>
  <r>
    <x v="3"/>
    <x v="3"/>
    <x v="0"/>
    <n v="6.0469999999999997"/>
    <n v="1.016"/>
    <n v="1.54"/>
    <n v="2.4910000000000001"/>
    <n v="848"/>
    <n v="146"/>
    <s v=""/>
    <n v="307"/>
    <n v="78"/>
    <n v="741"/>
    <n v="72"/>
    <n v="250"/>
    <n v="167"/>
    <s v=""/>
    <n v="647"/>
    <n v="334"/>
    <s v=""/>
  </r>
  <r>
    <x v="4"/>
    <x v="0"/>
    <x v="1"/>
    <n v="4.58"/>
    <n v="1.321"/>
    <n v="1.62"/>
    <n v="2.4089999999999998"/>
    <n v="860"/>
    <n v="162"/>
    <n v="0"/>
    <n v="308"/>
    <n v="88"/>
    <n v="684"/>
    <n v="77"/>
    <n v="257"/>
    <n v="168"/>
    <s v=""/>
    <n v="600"/>
    <n v="414"/>
    <s v=""/>
  </r>
  <r>
    <x v="5"/>
    <x v="1"/>
    <x v="1"/>
    <n v="5.5010000000000003"/>
    <n v="1.262"/>
    <n v="2.11"/>
    <n v="2.649"/>
    <n v="882"/>
    <n v="171"/>
    <n v="1"/>
    <n v="318"/>
    <n v="101"/>
    <n v="714"/>
    <n v="87"/>
    <n v="267"/>
    <n v="191"/>
    <s v=""/>
    <n v="650"/>
    <n v="396"/>
    <s v=""/>
  </r>
  <r>
    <x v="6"/>
    <x v="2"/>
    <x v="1"/>
    <n v="5.5739999999999998"/>
    <n v="1.2310000000000001"/>
    <n v="2.0259999999999998"/>
    <n v="2.5569999999999999"/>
    <n v="820"/>
    <n v="164"/>
    <n v="1"/>
    <n v="305"/>
    <n v="120"/>
    <n v="725"/>
    <n v="96"/>
    <n v="247"/>
    <n v="187"/>
    <n v="1"/>
    <n v="606"/>
    <n v="454"/>
    <n v="56"/>
  </r>
  <r>
    <x v="7"/>
    <x v="3"/>
    <x v="1"/>
    <n v="6.8209999999999997"/>
    <n v="1.333"/>
    <n v="2.0649999999999999"/>
    <n v="2.7629999999999999"/>
    <n v="934"/>
    <n v="178"/>
    <n v="2"/>
    <n v="343"/>
    <n v="154"/>
    <n v="1.669"/>
    <n v="113"/>
    <n v="266"/>
    <n v="192"/>
    <n v="1"/>
    <n v="449"/>
    <n v="388"/>
    <n v="58"/>
  </r>
  <r>
    <x v="8"/>
    <x v="0"/>
    <x v="2"/>
    <n v="5.9459999999999997"/>
    <n v="1.4259999999999999"/>
    <n v="2.0859999999999999"/>
    <n v="2.6749999999999998"/>
    <n v="950"/>
    <n v="183"/>
    <n v="2"/>
    <n v="323"/>
    <n v="163"/>
    <n v="2.3380000000000001"/>
    <n v="114"/>
    <n v="264"/>
    <n v="211"/>
    <n v="1"/>
    <n v="440"/>
    <n v="443"/>
    <n v="59"/>
  </r>
  <r>
    <x v="9"/>
    <x v="1"/>
    <x v="2"/>
    <n v="6.3710000000000004"/>
    <n v="1.464"/>
    <n v="2.0710000000000002"/>
    <n v="2.8290000000000002"/>
    <n v="971"/>
    <n v="191"/>
    <n v="3"/>
    <n v="339"/>
    <n v="181"/>
    <n v="2.3860000000000001"/>
    <n v="140"/>
    <n v="273"/>
    <n v="237"/>
    <n v="1"/>
    <n v="452"/>
    <n v="424"/>
    <n v="64"/>
  </r>
  <r>
    <x v="10"/>
    <x v="2"/>
    <x v="2"/>
    <n v="6.3769999999999998"/>
    <n v="1.4530000000000001"/>
    <n v="2.048"/>
    <n v="2.75"/>
    <n v="903"/>
    <n v="186"/>
    <n v="4"/>
    <n v="340"/>
    <n v="192"/>
    <n v="2.4009999999999998"/>
    <n v="157"/>
    <n v="261"/>
    <n v="229"/>
    <n v="1"/>
    <n v="459"/>
    <n v="501"/>
    <n v="64"/>
  </r>
  <r>
    <x v="11"/>
    <x v="3"/>
    <x v="2"/>
    <n v="7.2210000000000001"/>
    <n v="1.6579999999999999"/>
    <n v="2.1520000000000001"/>
    <n v="3.0089999999999999"/>
    <n v="1.0740000000000001"/>
    <n v="203"/>
    <n v="4"/>
    <n v="460"/>
    <n v="203"/>
    <n v="2.621"/>
    <n v="189"/>
    <n v="293"/>
    <n v="245"/>
    <n v="2"/>
    <n v="224"/>
    <n v="451"/>
    <n v="69"/>
  </r>
  <r>
    <x v="12"/>
    <x v="0"/>
    <x v="3"/>
    <n v="6.766"/>
    <n v="1.6339999999999999"/>
    <n v="2.0459999999999998"/>
    <n v="2.8769999999999998"/>
    <n v="1.0589999999999999"/>
    <n v="212"/>
    <n v="7"/>
    <n v="422"/>
    <n v="371"/>
    <n v="2.5539999999999998"/>
    <n v="188"/>
    <n v="297"/>
    <n v="249"/>
    <n v="2"/>
    <n v="542"/>
    <n v="518"/>
    <n v="71"/>
  </r>
  <r>
    <x v="13"/>
    <x v="1"/>
    <x v="3"/>
    <n v="7.3140000000000001"/>
    <n v="1.7130000000000001"/>
    <n v="2.024"/>
    <n v="3.1890000000000001"/>
    <n v="1.08"/>
    <n v="235"/>
    <n v="7"/>
    <n v="452"/>
    <n v="431"/>
    <n v="2.71"/>
    <n v="219"/>
    <n v="328"/>
    <n v="281"/>
    <n v="2"/>
    <n v="560"/>
    <n v="507"/>
    <n v="75"/>
  </r>
  <r>
    <x v="14"/>
    <x v="2"/>
    <x v="3"/>
    <n v="7.4980000000000002"/>
    <n v="1.653"/>
    <n v="1.978"/>
    <n v="3.1509999999999998"/>
    <n v="952"/>
    <n v="218"/>
    <n v="10"/>
    <n v="442"/>
    <n v="429"/>
    <n v="2.5880000000000001"/>
    <n v="236"/>
    <n v="304"/>
    <n v="251"/>
    <n v="2"/>
    <n v="504"/>
    <n v="593"/>
    <n v="78"/>
  </r>
  <r>
    <x v="15"/>
    <x v="3"/>
    <x v="3"/>
    <n v="7.95"/>
    <n v="1.718"/>
    <n v="2.0019999999999998"/>
    <n v="3.1309999999999998"/>
    <n v="1.03"/>
    <n v="223"/>
    <n v="12"/>
    <n v="448"/>
    <n v="443"/>
    <n v="2.6459999999999999"/>
    <n v="232"/>
    <n v="310"/>
    <n v="243"/>
    <n v="4"/>
    <n v="306"/>
    <n v="509"/>
    <n v="83"/>
  </r>
  <r>
    <x v="16"/>
    <x v="0"/>
    <x v="4"/>
    <n v="6.718"/>
    <n v="1.601"/>
    <n v="2.0099999999999998"/>
    <n v="2.8239999999999998"/>
    <n v="993"/>
    <n v="228"/>
    <n v="12"/>
    <n v="401"/>
    <n v="429"/>
    <n v="2.2549999999999999"/>
    <n v="188"/>
    <n v="314"/>
    <n v="236"/>
    <n v="5"/>
    <n v="440"/>
    <n v="554"/>
    <n v="85"/>
  </r>
  <r>
    <x v="17"/>
    <x v="1"/>
    <x v="4"/>
    <n v="7.4950000000000001"/>
    <n v="1.6339999999999999"/>
    <n v="2.0739999999999998"/>
    <n v="3.1230000000000002"/>
    <n v="1.02"/>
    <n v="252"/>
    <n v="15"/>
    <n v="427"/>
    <n v="402"/>
    <n v="2.484"/>
    <n v="261"/>
    <n v="336"/>
    <n v="266"/>
    <n v="7"/>
    <n v="439"/>
    <n v="510"/>
    <n v="84"/>
  </r>
  <r>
    <x v="18"/>
    <x v="2"/>
    <x v="4"/>
    <n v="7.7610000000000001"/>
    <n v="1.653"/>
    <n v="2.0249999999999999"/>
    <n v="3.145"/>
    <n v="976"/>
    <n v="247"/>
    <n v="19"/>
    <n v="461"/>
    <n v="403"/>
    <n v="2.5310000000000001"/>
    <n v="280"/>
    <n v="326"/>
    <n v="259"/>
    <n v="7"/>
    <n v="441"/>
    <n v="642"/>
    <n v="87"/>
  </r>
  <r>
    <x v="19"/>
    <x v="3"/>
    <x v="4"/>
    <n v="8.7899999999999991"/>
    <n v="1.8340000000000001"/>
    <n v="2.0790000000000002"/>
    <n v="3.47"/>
    <n v="1.107"/>
    <n v="275"/>
    <n v="20"/>
    <n v="495"/>
    <n v="403"/>
    <n v="2.641"/>
    <n v="323"/>
    <n v="347"/>
    <n v="270"/>
    <n v="10"/>
    <n v="115"/>
    <n v="541"/>
    <n v="93"/>
  </r>
  <r>
    <x v="20"/>
    <x v="0"/>
    <x v="5"/>
    <n v="7.6980000000000004"/>
    <n v="1.7989999999999999"/>
    <n v="1.96"/>
    <n v="2.927"/>
    <n v="1.0629999999999999"/>
    <n v="279"/>
    <n v="21"/>
    <n v="454"/>
    <n v="412"/>
    <n v="2.6269999999999998"/>
    <n v="329"/>
    <n v="341"/>
    <n v="269"/>
    <n v="10"/>
    <n v="367"/>
    <n v="586"/>
    <n v="99"/>
  </r>
  <r>
    <x v="21"/>
    <x v="1"/>
    <x v="5"/>
    <n v="8.8260000000000005"/>
    <n v="1.758"/>
    <n v="1.9279999999999999"/>
    <n v="3.194"/>
    <n v="1.0580000000000001"/>
    <n v="292"/>
    <n v="23"/>
    <n v="468"/>
    <n v="418"/>
    <n v="2.5960000000000001"/>
    <n v="351"/>
    <n v="365"/>
    <n v="281"/>
    <n v="12"/>
    <n v="358"/>
    <n v="578"/>
    <n v="100"/>
  </r>
  <r>
    <x v="22"/>
    <x v="2"/>
    <x v="5"/>
    <n v="8.6750000000000007"/>
    <n v="1.768"/>
    <n v="1.9159999999999999"/>
    <n v="3.2240000000000002"/>
    <n v="965"/>
    <n v="282"/>
    <n v="25"/>
    <n v="472"/>
    <n v="421"/>
    <n v="2.629"/>
    <n v="344"/>
    <n v="349"/>
    <n v="270"/>
    <n v="12"/>
    <n v="345"/>
    <n v="652"/>
    <n v="101"/>
  </r>
  <r>
    <x v="23"/>
    <x v="3"/>
    <x v="5"/>
    <n v="9.968"/>
    <n v="1.9950000000000001"/>
    <n v="2.0019999999999998"/>
    <n v="3.4980000000000002"/>
    <n v="1.135"/>
    <n v="306"/>
    <n v="28"/>
    <n v="534"/>
    <n v="428"/>
    <n v="2.5419999999999998"/>
    <n v="389"/>
    <n v="392"/>
    <n v="284"/>
    <n v="16"/>
    <n v="327"/>
    <n v="580"/>
    <n v="106"/>
  </r>
  <r>
    <x v="24"/>
    <x v="0"/>
    <x v="6"/>
    <n v="9.0410000000000004"/>
    <n v="2.0150000000000001"/>
    <n v="1.925"/>
    <n v="3.2839999999999998"/>
    <n v="1.1160000000000001"/>
    <n v="313"/>
    <n v="28"/>
    <n v="485"/>
    <n v="433"/>
    <n v="2.7210000000000001"/>
    <n v="388"/>
    <n v="405"/>
    <n v="293"/>
    <n v="14"/>
    <n v="354"/>
    <n v="648"/>
    <n v="113"/>
  </r>
  <r>
    <x v="25"/>
    <x v="1"/>
    <x v="6"/>
    <n v="9.6159999999999997"/>
    <n v="2.0459999999999998"/>
    <n v="1.9750000000000001"/>
    <n v="3.536"/>
    <n v="1.137"/>
    <n v="342"/>
    <n v="32"/>
    <n v="522"/>
    <n v="439"/>
    <n v="2.8540000000000001"/>
    <n v="426"/>
    <n v="431"/>
    <n v="318"/>
    <n v="21"/>
    <n v="381"/>
    <n v="649"/>
    <n v="110"/>
  </r>
  <r>
    <x v="26"/>
    <x v="2"/>
    <x v="6"/>
    <n v="9.8170000000000002"/>
    <n v="2.0310000000000001"/>
    <n v="1.8740000000000001"/>
    <n v="3.4790000000000001"/>
    <n v="1.032"/>
    <n v="315"/>
    <n v="45"/>
    <n v="517"/>
    <n v="451"/>
    <n v="2.9329999999999998"/>
    <n v="447"/>
    <n v="413"/>
    <n v="301"/>
    <n v="18"/>
    <n v="363"/>
    <n v="719"/>
    <n v="104"/>
  </r>
  <r>
    <x v="27"/>
    <x v="3"/>
    <x v="6"/>
    <n v="10.377000000000001"/>
    <n v="2.2149999999999999"/>
    <n v="1.8480000000000001"/>
    <n v="3.5939999999999999"/>
    <n v="1.167"/>
    <n v="333"/>
    <n v="47"/>
    <n v="550"/>
    <n v="467"/>
    <n v="3.0510000000000002"/>
    <n v="497"/>
    <n v="430"/>
    <n v="307"/>
    <n v="22"/>
    <n v="395"/>
    <n v="625"/>
    <n v="112"/>
  </r>
  <r>
    <x v="28"/>
    <x v="0"/>
    <x v="7"/>
    <n v="5.2839999999999998"/>
    <n v="2.161"/>
    <n v="1.8660000000000001"/>
    <n v="3.3879999999999999"/>
    <n v="1.141"/>
    <n v="349"/>
    <n v="48"/>
    <n v="486"/>
    <n v="473"/>
    <n v="3.0569999999999999"/>
    <n v="495"/>
    <n v="459"/>
    <n v="323"/>
    <n v="20"/>
    <n v="381"/>
    <n v="720"/>
    <n v="119"/>
  </r>
  <r>
    <x v="29"/>
    <x v="1"/>
    <x v="7"/>
    <n v="5.3129999999999997"/>
    <n v="2.1059999999999999"/>
    <n v="1.8280000000000001"/>
    <n v="3.5720000000000001"/>
    <n v="1.125"/>
    <n v="372"/>
    <n v="51"/>
    <n v="510"/>
    <n v="471"/>
    <n v="3.1080000000000001"/>
    <n v="537"/>
    <n v="482"/>
    <n v="336"/>
    <n v="23"/>
    <n v="383"/>
    <n v="705"/>
    <n v="123"/>
  </r>
  <r>
    <x v="30"/>
    <x v="2"/>
    <x v="7"/>
    <n v="5.2649999999999997"/>
    <n v="2.052"/>
    <n v="1.7350000000000001"/>
    <n v="3.4769999999999999"/>
    <n v="1.026"/>
    <n v="340"/>
    <n v="55"/>
    <n v="499"/>
    <n v="470"/>
    <n v="3.0859999999999999"/>
    <n v="538"/>
    <n v="448"/>
    <n v="315"/>
    <n v="23"/>
    <n v="368"/>
    <n v="756"/>
    <n v="119"/>
  </r>
  <r>
    <x v="31"/>
    <x v="3"/>
    <x v="7"/>
    <n v="3.1880000000000002"/>
    <n v="2.3380000000000001"/>
    <n v="1.82"/>
    <n v="3.4990000000000001"/>
    <n v="1.181"/>
    <n v="377"/>
    <n v="58"/>
    <n v="574"/>
    <n v="588"/>
    <n v="3.2589999999999999"/>
    <n v="609"/>
    <n v="511"/>
    <n v="320"/>
    <n v="33"/>
    <n v="419"/>
    <n v="678"/>
    <n v="132"/>
  </r>
  <r>
    <x v="32"/>
    <x v="0"/>
    <x v="8"/>
    <n v="5.3780000000000001"/>
    <n v="2.19"/>
    <n v="1.7609999999999999"/>
    <n v="3.448"/>
    <n v="1.139"/>
    <n v="384"/>
    <n v="57"/>
    <n v="500"/>
    <n v="631"/>
    <n v="3.1920000000000002"/>
    <n v="611"/>
    <n v="497"/>
    <n v="332"/>
    <n v="30"/>
    <n v="412"/>
    <n v="768"/>
    <n v="136"/>
  </r>
  <r>
    <x v="33"/>
    <x v="1"/>
    <x v="8"/>
    <n v="5.4459999999999997"/>
    <n v="2.2120000000000002"/>
    <n v="1.8089999999999999"/>
    <n v="3.669"/>
    <n v="1.17"/>
    <n v="415"/>
    <n v="60"/>
    <n v="525"/>
    <n v="613"/>
    <n v="3.24"/>
    <n v="579"/>
    <n v="517"/>
    <n v="353"/>
    <n v="36"/>
    <n v="420"/>
    <n v="726"/>
    <n v="137"/>
  </r>
  <r>
    <x v="34"/>
    <x v="2"/>
    <x v="8"/>
    <n v="4.8250000000000002"/>
    <n v="2.1509999999999998"/>
    <n v="1.7350000000000001"/>
    <n v="3.71"/>
    <n v="1.0740000000000001"/>
    <n v="358"/>
    <n v="61"/>
    <n v="505"/>
    <n v="626"/>
    <n v="3.1920000000000002"/>
    <n v="499"/>
    <n v="496"/>
    <n v="338"/>
    <n v="43"/>
    <n v="414"/>
    <n v="770"/>
    <n v="131"/>
  </r>
  <r>
    <x v="35"/>
    <x v="3"/>
    <x v="8"/>
    <n v="4.008"/>
    <n v="2.468"/>
    <n v="1.8380000000000001"/>
    <n v="4.3220000000000001"/>
    <n v="1.2410000000000001"/>
    <n v="384"/>
    <n v="69"/>
    <n v="603"/>
    <n v="622"/>
    <n v="3.4670000000000001"/>
    <n v="576"/>
    <n v="536"/>
    <n v="354"/>
    <n v="52"/>
    <n v="451"/>
    <n v="712"/>
    <n v="142"/>
  </r>
  <r>
    <x v="36"/>
    <x v="0"/>
    <x v="9"/>
    <n v="4.7549999999999999"/>
    <n v="2.3050000000000002"/>
    <n v="1.774"/>
    <n v="3.8479999999999999"/>
    <n v="1.1619999999999999"/>
    <n v="398"/>
    <n v="69"/>
    <n v="509"/>
    <n v="613"/>
    <n v="3.9039999999999999"/>
    <n v="465"/>
    <n v="522"/>
    <n v="360"/>
    <n v="47"/>
    <n v="439"/>
    <n v="779"/>
    <n v="140"/>
  </r>
  <r>
    <x v="37"/>
    <x v="1"/>
    <x v="9"/>
    <n v="5.0570000000000004"/>
    <n v="2.363"/>
    <n v="1.873"/>
    <n v="4.1539999999999999"/>
    <n v="1.1830000000000001"/>
    <n v="415"/>
    <n v="72"/>
    <n v="537"/>
    <n v="625"/>
    <n v="4.3220000000000001"/>
    <n v="512"/>
    <n v="575"/>
    <n v="390"/>
    <n v="59"/>
    <n v="468"/>
    <n v="748"/>
    <n v="141"/>
  </r>
  <r>
    <x v="38"/>
    <x v="2"/>
    <x v="9"/>
    <n v="5.0789999999999997"/>
    <n v="2.3889999999999998"/>
    <n v="1.8460000000000001"/>
    <n v="2.7090000000000001"/>
    <n v="1.1060000000000001"/>
    <n v="380"/>
    <n v="75"/>
    <n v="531"/>
    <n v="633"/>
    <n v="4.1710000000000003"/>
    <n v="550"/>
    <n v="607"/>
    <n v="384"/>
    <n v="69"/>
    <n v="457"/>
    <n v="812"/>
    <n v="144"/>
  </r>
  <r>
    <x v="39"/>
    <x v="3"/>
    <x v="9"/>
    <n v="5.3559999999999999"/>
    <n v="2.6179999999999999"/>
    <n v="1.887"/>
    <n v="2.7890000000000001"/>
    <n v="1.2230000000000001"/>
    <n v="423"/>
    <n v="15"/>
    <n v="598"/>
    <n v="661"/>
    <n v="4.4930000000000003"/>
    <n v="605"/>
    <n v="618"/>
    <n v="352"/>
    <n v="84"/>
    <n v="476"/>
    <n v="738"/>
    <n v="162"/>
  </r>
  <r>
    <x v="40"/>
    <x v="0"/>
    <x v="10"/>
    <n v="4.8970000000000002"/>
    <n v="2.379"/>
    <n v="1.768"/>
    <n v="2.403"/>
    <n v="1.1339999999999999"/>
    <n v="422"/>
    <n v="48"/>
    <n v="473"/>
    <n v="653"/>
    <n v="3.919"/>
    <n v="532"/>
    <n v="590"/>
    <n v="382"/>
    <n v="73"/>
    <n v="429"/>
    <n v="759"/>
    <n v="155"/>
  </r>
  <r>
    <x v="41"/>
    <x v="1"/>
    <x v="10"/>
    <n v="5.17"/>
    <n v="2.4319999999999999"/>
    <n v="1.843"/>
    <n v="2.4750000000000001"/>
    <n v="1.1679999999999999"/>
    <n v="453"/>
    <n v="61"/>
    <n v="506"/>
    <n v="656"/>
    <n v="4.2709999999999999"/>
    <n v="586"/>
    <n v="617"/>
    <n v="413"/>
    <n v="93"/>
    <n v="452"/>
    <n v="784"/>
    <n v="156"/>
  </r>
  <r>
    <x v="42"/>
    <x v="2"/>
    <x v="10"/>
    <n v="5.15"/>
    <n v="2.42"/>
    <n v="1.8879999999999999"/>
    <n v="2.4870000000000001"/>
    <n v="1.762"/>
    <n v="412"/>
    <n v="71"/>
    <n v="470"/>
    <n v="694"/>
    <n v="4.1230000000000002"/>
    <n v="590"/>
    <n v="616"/>
    <n v="406"/>
    <n v="105"/>
    <n v="444"/>
    <n v="209"/>
    <n v="153"/>
  </r>
  <r>
    <x v="43"/>
    <x v="3"/>
    <x v="10"/>
    <n v="5.1879999999999997"/>
    <n v="2.7149999999999999"/>
    <n v="1.978"/>
    <n v="2.6030000000000002"/>
    <n v="1.9339999999999999"/>
    <n v="455"/>
    <n v="84"/>
    <n v="571"/>
    <n v="703"/>
    <n v="4.6520000000000001"/>
    <n v="677"/>
    <n v="671"/>
    <n v="400"/>
    <n v="131"/>
    <n v="485"/>
    <n v="757"/>
    <n v="167"/>
  </r>
  <r>
    <x v="44"/>
    <x v="0"/>
    <x v="11"/>
    <n v="4.8849999999999998"/>
    <n v="2.4950000000000001"/>
    <n v="1.964"/>
    <n v="2.375"/>
    <n v="1.9039999999999999"/>
    <n v="454"/>
    <n v="81"/>
    <n v="471"/>
    <n v="695"/>
    <n v="4.2949999999999999"/>
    <n v="595"/>
    <n v="697"/>
    <n v="418"/>
    <n v="116"/>
    <n v="425"/>
    <n v="615"/>
    <n v="171"/>
  </r>
  <r>
    <x v="45"/>
    <x v="1"/>
    <x v="11"/>
    <n v="5.3330000000000002"/>
    <n v="2.84"/>
    <n v="2.1259999999999999"/>
    <n v="2.585"/>
    <n v="1.9339999999999999"/>
    <n v="519"/>
    <n v="87"/>
    <n v="517"/>
    <n v="693"/>
    <n v="4.5350000000000001"/>
    <n v="670"/>
    <n v="759"/>
    <n v="467"/>
    <n v="137"/>
    <n v="474"/>
    <n v="643"/>
    <n v="173"/>
  </r>
  <r>
    <x v="46"/>
    <x v="2"/>
    <x v="11"/>
    <n v="5.3019999999999996"/>
    <n v="2.8330000000000002"/>
    <n v="2.105"/>
    <n v="2.5579999999999998"/>
    <n v="1.833"/>
    <n v="465"/>
    <n v="95"/>
    <n v="509"/>
    <n v="717"/>
    <n v="4.4909999999999997"/>
    <n v="683"/>
    <n v="739"/>
    <n v="448"/>
    <n v="149"/>
    <n v="456"/>
    <n v="579"/>
    <n v="168"/>
  </r>
  <r>
    <x v="47"/>
    <x v="3"/>
    <x v="11"/>
    <n v="5.3330000000000002"/>
    <n v="3.157"/>
    <n v="2.1909999999999998"/>
    <n v="2.645"/>
    <n v="1.998"/>
    <n v="530"/>
    <n v="104"/>
    <n v="571"/>
    <n v="727"/>
    <n v="4.9530000000000003"/>
    <n v="759"/>
    <n v="768"/>
    <n v="443"/>
    <n v="171"/>
    <n v="514"/>
    <n v="602"/>
    <n v="201"/>
  </r>
  <r>
    <x v="48"/>
    <x v="0"/>
    <x v="12"/>
    <n v="6.335"/>
    <n v="2.9550000000000001"/>
    <n v="2.16"/>
    <n v="2.4750000000000001"/>
    <n v="1.972"/>
    <n v="514"/>
    <n v="102"/>
    <n v="500"/>
    <n v="734"/>
    <n v="4.7649999999999997"/>
    <n v="680"/>
    <n v="884"/>
    <n v="462"/>
    <n v="142"/>
    <n v="488"/>
    <n v="663"/>
    <n v="197"/>
  </r>
  <r>
    <x v="49"/>
    <x v="1"/>
    <x v="12"/>
    <n v="6.6369999999999996"/>
    <n v="3.012"/>
    <n v="2.2570000000000001"/>
    <n v="2.605"/>
    <n v="1.95"/>
    <n v="557"/>
    <n v="110"/>
    <n v="505"/>
    <n v="715"/>
    <n v="4.99"/>
    <n v="759"/>
    <n v="842"/>
    <n v="509"/>
    <n v="171"/>
    <n v="529"/>
    <n v="633"/>
    <n v="192"/>
  </r>
  <r>
    <x v="50"/>
    <x v="2"/>
    <x v="12"/>
    <n v="6.8289999999999997"/>
    <n v="3.0059999999999998"/>
    <n v="2.222"/>
    <n v="2.7069999999999999"/>
    <n v="1.8129999999999999"/>
    <n v="524"/>
    <n v="122"/>
    <n v="534"/>
    <n v="806"/>
    <n v="5.1159999999999997"/>
    <n v="808"/>
    <n v="822"/>
    <n v="492"/>
    <n v="185"/>
    <n v="535"/>
    <n v="722"/>
    <n v="193"/>
  </r>
  <r>
    <x v="51"/>
    <x v="3"/>
    <x v="12"/>
    <n v="7.5890000000000004"/>
    <n v="3.4710000000000001"/>
    <n v="2.4089999999999998"/>
    <n v="2.774"/>
    <n v="2.0680000000000001"/>
    <n v="601"/>
    <n v="131"/>
    <n v="621"/>
    <n v="803"/>
    <n v="6.0469999999999997"/>
    <n v="892"/>
    <n v="889"/>
    <n v="506"/>
    <n v="221"/>
    <n v="595"/>
    <n v="679"/>
    <n v="208"/>
  </r>
  <r>
    <x v="52"/>
    <x v="0"/>
    <x v="13"/>
    <n v="7.39"/>
    <n v="3.2410000000000001"/>
    <n v="2.379"/>
    <n v="2.677"/>
    <n v="2.0179999999999998"/>
    <n v="592"/>
    <n v="124"/>
    <n v="552"/>
    <n v="791"/>
    <n v="5.8529999999999998"/>
    <n v="848"/>
    <n v="895"/>
    <n v="538"/>
    <n v="184"/>
    <n v="587"/>
    <n v="730"/>
    <n v="213"/>
  </r>
  <r>
    <x v="53"/>
    <x v="1"/>
    <x v="13"/>
    <n v="7.7670000000000003"/>
    <n v="3.3220000000000001"/>
    <n v="2.4900000000000002"/>
    <n v="2.8420000000000001"/>
    <n v="2.008"/>
    <n v="624"/>
    <n v="124"/>
    <n v="576"/>
    <n v="789"/>
    <n v="6.0780000000000003"/>
    <n v="909"/>
    <n v="944"/>
    <n v="581"/>
    <n v="243"/>
    <n v="610"/>
    <n v="709"/>
    <n v="212"/>
  </r>
  <r>
    <x v="54"/>
    <x v="2"/>
    <x v="13"/>
    <n v="7.6559999999999997"/>
    <n v="3.242"/>
    <n v="2.3929999999999998"/>
    <n v="2.7669999999999999"/>
    <n v="1.837"/>
    <n v="588"/>
    <n v="151"/>
    <n v="545"/>
    <n v="824"/>
    <n v="5.92"/>
    <n v="921"/>
    <n v="907"/>
    <n v="545"/>
    <n v="267"/>
    <n v="610"/>
    <n v="802"/>
    <n v="211"/>
  </r>
  <r>
    <x v="55"/>
    <x v="3"/>
    <x v="13"/>
    <n v="7.7649999999999997"/>
    <n v="3.7959999999999998"/>
    <n v="2.5609999999999999"/>
    <n v="2.8410000000000002"/>
    <n v="2.0710000000000002"/>
    <n v="651"/>
    <n v="165"/>
    <n v="617"/>
    <n v="814"/>
    <n v="6.5069999999999997"/>
    <n v="1.0469999999999999"/>
    <n v="978"/>
    <n v="549"/>
    <n v="338"/>
    <n v="642"/>
    <n v="741"/>
    <n v="223"/>
  </r>
  <r>
    <x v="56"/>
    <x v="0"/>
    <x v="14"/>
    <n v="7.5350000000000001"/>
    <n v="3.516"/>
    <n v="2.4929999999999999"/>
    <n v="2.6320000000000001"/>
    <n v="1.976"/>
    <n v="662"/>
    <n v="160"/>
    <n v="554"/>
    <n v="831"/>
    <n v="6.125"/>
    <n v="974"/>
    <n v="993"/>
    <n v="576"/>
    <n v="281"/>
    <n v="614"/>
    <n v="779"/>
    <n v="232"/>
  </r>
  <r>
    <x v="57"/>
    <x v="1"/>
    <x v="14"/>
    <n v="7.9790000000000001"/>
    <n v="3.65"/>
    <n v="2.6309999999999998"/>
    <n v="2.84"/>
    <n v="1.9890000000000001"/>
    <n v="705"/>
    <n v="177"/>
    <n v="573"/>
    <n v="818"/>
    <n v="6.3159999999999998"/>
    <n v="1.099"/>
    <n v="1.087"/>
    <n v="620"/>
    <n v="336"/>
    <n v="653"/>
    <n v="826"/>
    <n v="230"/>
  </r>
  <r>
    <x v="58"/>
    <x v="2"/>
    <x v="14"/>
    <n v="8.0760000000000005"/>
    <n v="3.5870000000000002"/>
    <n v="2.7069999999999999"/>
    <n v="2.851"/>
    <n v="1.8919999999999999"/>
    <n v="681"/>
    <n v="192"/>
    <n v="561"/>
    <n v="852"/>
    <n v="6.2720000000000002"/>
    <n v="1.1279999999999999"/>
    <n v="1.0940000000000001"/>
    <n v="605"/>
    <n v="396"/>
    <n v="648"/>
    <n v="879"/>
    <n v="2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s v="Q1 2005"/>
    <x v="0"/>
    <x v="0"/>
    <n v="2.5310000000000001"/>
    <n v="625"/>
    <n v="1.609"/>
    <n v="288"/>
  </r>
  <r>
    <s v="Q2 2005"/>
    <x v="1"/>
    <x v="0"/>
    <n v="2.778"/>
    <n v="652"/>
    <n v="1.67"/>
    <n v="268"/>
  </r>
  <r>
    <s v="Q3 2005"/>
    <x v="2"/>
    <x v="0"/>
    <n v="2.69"/>
    <n v="609"/>
    <n v="1.7170000000000001"/>
    <n v="273"/>
  </r>
  <r>
    <s v="Q4 2005"/>
    <x v="3"/>
    <x v="0"/>
    <n v="2.7650000000000001"/>
    <n v="673"/>
    <n v="1.772"/>
    <n v="287"/>
  </r>
  <r>
    <s v="Q1 2006"/>
    <x v="0"/>
    <x v="1"/>
    <n v="2.77"/>
    <n v="643"/>
    <n v="1.75"/>
    <n v="331"/>
  </r>
  <r>
    <s v="Q2 2006"/>
    <x v="1"/>
    <x v="1"/>
    <n v="3.0670000000000002"/>
    <n v="686"/>
    <n v="2.165"/>
    <n v="265"/>
  </r>
  <r>
    <s v="Q3 2006"/>
    <x v="2"/>
    <x v="1"/>
    <n v="2.8969999999999998"/>
    <n v="679"/>
    <n v="2.234"/>
    <n v="284"/>
  </r>
  <r>
    <s v="Q4 2006"/>
    <x v="3"/>
    <x v="1"/>
    <n v="3.0750000000000002"/>
    <n v="771"/>
    <n v="2.3519999999999999"/>
    <n v="299"/>
  </r>
  <r>
    <s v="Q1 2007"/>
    <x v="0"/>
    <x v="2"/>
    <n v="3.048"/>
    <n v="744"/>
    <n v="2.3210000000000002"/>
    <n v="350"/>
  </r>
  <r>
    <s v="Q2 2007"/>
    <x v="1"/>
    <x v="2"/>
    <n v="3.2789999999999999"/>
    <n v="813"/>
    <n v="2.4039999999999999"/>
    <n v="281"/>
  </r>
  <r>
    <s v="Q3 2007"/>
    <x v="2"/>
    <x v="2"/>
    <n v="3.1269999999999998"/>
    <n v="845"/>
    <n v="2.4260000000000002"/>
    <n v="295"/>
  </r>
  <r>
    <s v="Q4 2007"/>
    <x v="3"/>
    <x v="2"/>
    <n v="3.1240000000000001"/>
    <n v="967"/>
    <n v="2.569"/>
    <n v="314"/>
  </r>
  <r>
    <s v="Q1 2008"/>
    <x v="0"/>
    <x v="3"/>
    <n v="3.4049999999999998"/>
    <n v="911"/>
    <n v="2.512"/>
    <n v="375"/>
  </r>
  <r>
    <s v="Q2 2008"/>
    <x v="1"/>
    <x v="3"/>
    <n v="3.859"/>
    <n v="1"/>
    <n v="2.665"/>
    <n v="312"/>
  </r>
  <r>
    <s v="Q3 2008"/>
    <x v="2"/>
    <x v="3"/>
    <n v="3.706"/>
    <n v="930"/>
    <n v="2.7130000000000001"/>
    <n v="323"/>
  </r>
  <r>
    <s v="Q4 2008"/>
    <x v="3"/>
    <x v="3"/>
    <n v="3.57"/>
    <n v="960"/>
    <n v="2.722"/>
    <n v="319"/>
  </r>
  <r>
    <s v="Q1 2009"/>
    <x v="0"/>
    <x v="4"/>
    <n v="3.4940000000000002"/>
    <n v="865"/>
    <n v="2.56"/>
    <n v="344"/>
  </r>
  <r>
    <s v="Q2 2009"/>
    <x v="1"/>
    <x v="4"/>
    <n v="3.8290000000000002"/>
    <n v="926"/>
    <n v="2.7639999999999998"/>
    <n v="284"/>
  </r>
  <r>
    <s v="Q3 2009"/>
    <x v="2"/>
    <x v="4"/>
    <n v="3.9329999999999998"/>
    <n v="915"/>
    <n v="2.8889999999999998"/>
    <n v="314"/>
  </r>
  <r>
    <s v="Q4 2009"/>
    <x v="3"/>
    <x v="4"/>
    <n v="3.8380000000000001"/>
    <n v="1.0660000000000001"/>
    <n v="3.0350000000000001"/>
    <n v="328"/>
  </r>
  <r>
    <s v="Q1 2010"/>
    <x v="0"/>
    <x v="5"/>
    <n v="3.851"/>
    <n v="995"/>
    <n v="2.8820000000000001"/>
    <n v="332"/>
  </r>
  <r>
    <s v="Q2 2010"/>
    <x v="1"/>
    <x v="5"/>
    <n v="3.77"/>
    <n v="959"/>
    <n v="2.9460000000000002"/>
    <n v="189"/>
  </r>
  <r>
    <s v="Q3 2010"/>
    <x v="2"/>
    <x v="5"/>
    <n v="3.7730000000000001"/>
    <n v="941"/>
    <n v="3.0579999999999998"/>
    <n v="312"/>
  </r>
  <r>
    <s v="Q4 2010"/>
    <x v="3"/>
    <x v="5"/>
    <n v="3.903"/>
    <n v="1.0669999999999999"/>
    <n v="3.1669999999999998"/>
    <n v="328"/>
  </r>
  <r>
    <s v="Q1 2011"/>
    <x v="0"/>
    <x v="6"/>
    <n v="3.8570000000000002"/>
    <n v="1.0549999999999999"/>
    <n v="3.036"/>
    <n v="378"/>
  </r>
  <r>
    <s v="Q2 2011"/>
    <x v="1"/>
    <x v="6"/>
    <n v="3.9750000000000001"/>
    <n v="1.077"/>
    <n v="3.194"/>
    <n v="319"/>
  </r>
  <r>
    <s v="Q3 2011"/>
    <x v="2"/>
    <x v="6"/>
    <n v="3.9460000000000002"/>
    <n v="1.032"/>
    <n v="3.242"/>
    <n v="343"/>
  </r>
  <r>
    <s v="Q4 2011"/>
    <x v="3"/>
    <x v="6"/>
    <n v="4.0229999999999997"/>
    <n v="1.1060000000000001"/>
    <n v="3.323"/>
    <n v="355"/>
  </r>
  <r>
    <s v="Q1 2012"/>
    <x v="0"/>
    <x v="7"/>
    <n v="3.9180000000000001"/>
    <n v="1.079"/>
    <n v="3.2490000000000001"/>
    <n v="390"/>
  </r>
  <r>
    <s v="Q2 2012"/>
    <x v="1"/>
    <x v="7"/>
    <n v="4.2969999999999997"/>
    <n v="1.0289999999999999"/>
    <n v="3.4279999999999999"/>
    <n v="337"/>
  </r>
  <r>
    <s v="Q3 2012"/>
    <x v="2"/>
    <x v="7"/>
    <n v="4.008"/>
    <n v="952"/>
    <n v="3.4180000000000001"/>
    <n v="356"/>
  </r>
  <r>
    <s v="Q4 2012"/>
    <x v="3"/>
    <x v="7"/>
    <n v="4.0949999999999998"/>
    <n v="1.077"/>
    <n v="3.706"/>
    <n v="380"/>
  </r>
  <r>
    <s v="Q1 2013"/>
    <x v="0"/>
    <x v="8"/>
    <n v="4.0270000000000001"/>
    <n v="1.075"/>
    <n v="3.464"/>
    <n v="428"/>
  </r>
  <r>
    <s v="Q2 2013"/>
    <x v="1"/>
    <x v="8"/>
    <n v="4.46"/>
    <n v="1.0740000000000001"/>
    <n v="3.613"/>
    <n v="368"/>
  </r>
  <r>
    <s v="Q3 2013"/>
    <x v="2"/>
    <x v="8"/>
    <n v="4.0830000000000002"/>
    <n v="1.0269999999999999"/>
    <n v="3.6659999999999999"/>
    <n v="384"/>
  </r>
  <r>
    <s v="Q4 2013"/>
    <x v="3"/>
    <x v="8"/>
    <n v="4.194"/>
    <n v="1.175"/>
    <n v="3.867"/>
    <n v="406"/>
  </r>
  <r>
    <s v="Q1 2014"/>
    <x v="0"/>
    <x v="9"/>
    <n v="4.1630000000000003"/>
    <n v="1.073"/>
    <n v="3.5640000000000001"/>
    <n v="465"/>
  </r>
  <r>
    <s v="Q2 2014"/>
    <x v="1"/>
    <x v="9"/>
    <n v="4.5650000000000004"/>
    <n v="1.147"/>
    <n v="3.835"/>
    <n v="413"/>
  </r>
  <r>
    <s v="Q3 2014"/>
    <x v="2"/>
    <x v="9"/>
    <n v="4.2729999999999997"/>
    <n v="1.1479999999999999"/>
    <n v="4.1130000000000004"/>
    <n v="463"/>
  </r>
  <r>
    <s v="Q4 2014"/>
    <x v="3"/>
    <x v="9"/>
    <n v="4.3659999999999997"/>
    <n v="1.2490000000000001"/>
    <n v="4.32"/>
    <n v="473"/>
  </r>
  <r>
    <s v="Q1 2015"/>
    <x v="0"/>
    <x v="10"/>
    <n v="4.3179999999999996"/>
    <s v=""/>
    <n v="3.96"/>
    <n v="502"/>
  </r>
  <r>
    <s v="Q2 2015"/>
    <x v="1"/>
    <x v="10"/>
    <n v="7.3040000000000003"/>
    <s v=""/>
    <n v="4.1989999999999998"/>
    <n v="440"/>
  </r>
  <r>
    <s v="Q3 2015"/>
    <x v="2"/>
    <x v="10"/>
    <n v="7.274"/>
    <s v=""/>
    <n v="4.2309999999999999"/>
    <n v="490"/>
  </r>
  <r>
    <s v="Q4 2015"/>
    <x v="3"/>
    <x v="10"/>
    <n v="7.0579999999999998"/>
    <s v=""/>
    <n v="4.3479999999999999"/>
    <n v="619"/>
  </r>
  <r>
    <s v="Q1 2016"/>
    <x v="0"/>
    <x v="11"/>
    <n v="6.9340000000000002"/>
    <s v=""/>
    <n v="4.2050000000000001"/>
    <n v="690"/>
  </r>
  <r>
    <s v="Q2 2016"/>
    <x v="1"/>
    <x v="11"/>
    <n v="7.5670000000000002"/>
    <s v=""/>
    <n v="4.42"/>
    <n v="638"/>
  </r>
  <r>
    <s v="Q3 2016"/>
    <x v="2"/>
    <x v="11"/>
    <n v="7.1660000000000004"/>
    <s v=""/>
    <n v="4.5979999999999999"/>
    <n v="646"/>
  </r>
  <r>
    <s v="Q4 2016"/>
    <x v="3"/>
    <x v="11"/>
    <n v="7.3449999999999998"/>
    <s v=""/>
    <n v="4.6870000000000003"/>
    <n v="647"/>
  </r>
  <r>
    <s v="Q1 2017"/>
    <x v="0"/>
    <x v="12"/>
    <n v="7.2830000000000004"/>
    <s v=""/>
    <n v="4.8470000000000004"/>
    <n v="681"/>
  </r>
  <r>
    <s v="Q2 2017"/>
    <x v="1"/>
    <x v="12"/>
    <n v="7.9160000000000004"/>
    <s v=""/>
    <n v="4.9189999999999996"/>
    <n v="608"/>
  </r>
  <r>
    <s v="Q3 2017"/>
    <x v="2"/>
    <x v="12"/>
    <n v="7.39"/>
    <s v=""/>
    <n v="5.0960000000000001"/>
    <n v="634"/>
  </r>
  <r>
    <s v="Q4 2017"/>
    <x v="3"/>
    <x v="12"/>
    <n v="7.05"/>
    <s v=""/>
    <n v="5.2389999999999999"/>
    <n v="662"/>
  </r>
  <r>
    <s v="Q1 2018"/>
    <x v="0"/>
    <x v="13"/>
    <n v="7.3689999999999998"/>
    <s v=""/>
    <n v="4.8869999999999996"/>
    <n v="716"/>
  </r>
  <r>
    <s v="Q2 2018"/>
    <x v="1"/>
    <x v="13"/>
    <n v="8.1440000000000001"/>
    <s v=""/>
    <n v="5.0250000000000004"/>
    <n v="639"/>
  </r>
  <r>
    <s v="Q3 2018"/>
    <x v="2"/>
    <x v="13"/>
    <n v="7.3840000000000003"/>
    <s v=""/>
    <n v="4.718"/>
    <n v="679"/>
  </r>
  <r>
    <s v="Q4 2018"/>
    <x v="3"/>
    <x v="13"/>
    <n v="7.4809999999999999"/>
    <s v=""/>
    <n v="4.9119999999999999"/>
    <n v="696"/>
  </r>
  <r>
    <s v="Q1 2019"/>
    <x v="0"/>
    <x v="14"/>
    <n v="7.5460000000000003"/>
    <s v=""/>
    <n v="4.694"/>
    <n v="768"/>
  </r>
  <r>
    <s v="Q2 2019"/>
    <x v="1"/>
    <x v="14"/>
    <n v="8.1460000000000008"/>
    <s v=""/>
    <n v="4.8840000000000003"/>
    <n v="697"/>
  </r>
  <r>
    <s v="Q3 2019"/>
    <x v="2"/>
    <x v="14"/>
    <n v="7.4930000000000003"/>
    <s v=""/>
    <n v="4.9139999999999997"/>
    <n v="7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55BF7D-4A96-4292-93AC-5A526AD411B1}" name="TablaDinámica27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4:E20" firstHeaderRow="0" firstDataRow="1" firstDataCol="1" rowPageCount="1" colPageCount="1"/>
  <pivotFields count="7">
    <pivotField showAll="0"/>
    <pivotField axis="axisPage" multipleItemSelectionAllowed="1" showAll="0">
      <items count="5">
        <item x="0"/>
        <item x="1"/>
        <item x="2"/>
        <item x="3"/>
        <item t="default"/>
      </items>
    </pivotField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dataField="1" numFmtId="2" showAll="0"/>
    <pivotField dataField="1" showAll="0"/>
    <pivotField dataField="1" numFmtId="2" showAll="0"/>
    <pivotField dataField="1" numFmtId="2" showAll="0"/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" hier="-1"/>
  </pageFields>
  <dataFields count="4">
    <dataField name=" Medtronic" fld="3" baseField="0" baseItem="0"/>
    <dataField name=" Smith &amp; Nephew" fld="4" baseField="2" baseItem="7"/>
    <dataField name=" Fresenius Medical Care" fld="5" baseField="0" baseItem="0"/>
    <dataField name=" STERIS" fld="6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828D16-78BD-44C8-A5F7-633C8939A9E4}" name="TablaDinámica40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3:R19" firstHeaderRow="0" firstDataRow="1" firstDataCol="1"/>
  <pivotFields count="21">
    <pivotField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showAll="0"/>
    <pivotField dataField="1" numFmtId="2" showAll="0"/>
    <pivotField dataField="1" showAll="0"/>
    <pivotField dataField="1" numFmtId="2" showAll="0"/>
    <pivotField dataField="1" numFmtId="2" showAll="0"/>
    <pivotField dataField="1" numFmtId="2" showAll="0"/>
    <pivotField dataField="1" numFmtId="2" showAll="0"/>
    <pivotField dataField="1" showAll="0"/>
    <pivotField dataField="1" numFmtId="2" showAll="0"/>
    <pivotField dataField="1" numFmtId="2" showAll="0"/>
    <pivotField dataField="1" showAll="0"/>
    <pivotField dragToRow="0" dragToCol="0" dragToPage="0" showAll="0" defaultSubtotal="0"/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 Abbott Lab" fld="3" baseField="0" baseItem="0"/>
    <dataField name=" Stryker" fld="4" baseField="0" baseItem="0"/>
    <dataField name=" Boston Scientific" fld="5" baseField="0" baseItem="0"/>
    <dataField name=" Baxter" fld="6" baseField="0" baseItem="0"/>
    <dataField name=" Zimmer Biomet" fld="7" baseField="0" baseItem="0"/>
    <dataField name=" ResMed" fld="8" baseField="0" baseItem="0"/>
    <dataField name=" Masimo" fld="19" baseField="2" baseItem="0"/>
    <dataField name=" DexCom" fld="16" baseField="2" baseItem="0"/>
    <dataField name=" Hologic" fld="11" baseField="2" baseItem="0"/>
    <dataField name=" Insulet" fld="9" baseField="2" baseItem="0"/>
    <dataField name=" Bio-Rad Lab" fld="10" baseField="0" baseItem="0"/>
    <dataField name=" Thermo Fisher Scientific" fld="12" baseField="0" baseItem="0"/>
    <dataField name=" Intuitive Surgical" fld="13" baseField="0" baseItem="0"/>
    <dataField name=" Edward Lifescience" fld="14" baseField="0" baseItem="0"/>
    <dataField name=" IDEXX Lab" fld="15" baseField="0" baseItem="0"/>
    <dataField name=" Teleflex" fld="17" baseField="0" baseItem="0"/>
    <dataField name=" Varian Medical" fld="18" baseField="0" baseItem="0"/>
  </dataFields>
  <chartFormats count="1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AF8A79-41BA-4D81-8F43-E51AFB53B6B2}" name="TablaDinámica4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Q18" firstHeaderRow="0" firstDataRow="1" firstDataCol="1" rowPageCount="1" colPageCount="1"/>
  <pivotFields count="21">
    <pivotField axis="axisRow" showAll="0" sortType="ascending">
      <items count="60">
        <item x="0"/>
        <item x="4"/>
        <item x="8"/>
        <item x="12"/>
        <item x="16"/>
        <item x="20"/>
        <item x="24"/>
        <item x="28"/>
        <item x="32"/>
        <item x="36"/>
        <item x="40"/>
        <item x="44"/>
        <item x="48"/>
        <item x="52"/>
        <item x="56"/>
        <item x="1"/>
        <item x="5"/>
        <item x="9"/>
        <item x="13"/>
        <item x="17"/>
        <item x="21"/>
        <item x="25"/>
        <item x="29"/>
        <item x="33"/>
        <item x="37"/>
        <item x="41"/>
        <item x="45"/>
        <item x="49"/>
        <item x="53"/>
        <item x="57"/>
        <item x="2"/>
        <item x="6"/>
        <item x="10"/>
        <item x="14"/>
        <item x="18"/>
        <item x="22"/>
        <item x="26"/>
        <item x="30"/>
        <item x="34"/>
        <item x="38"/>
        <item x="42"/>
        <item x="46"/>
        <item x="50"/>
        <item x="54"/>
        <item x="58"/>
        <item x="3"/>
        <item x="7"/>
        <item x="11"/>
        <item x="15"/>
        <item x="19"/>
        <item x="23"/>
        <item x="27"/>
        <item x="31"/>
        <item x="35"/>
        <item x="39"/>
        <item x="43"/>
        <item x="47"/>
        <item x="51"/>
        <item x="5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showAll="0"/>
    <pivotField dataField="1" numFmtId="2" showAll="0"/>
    <pivotField dataField="1" showAll="0"/>
    <pivotField dataField="1" numFmtId="2" showAll="0"/>
    <pivotField dataField="1" numFmtId="2" showAll="0"/>
    <pivotField dataField="1" numFmtId="2" showAll="0"/>
    <pivotField numFmtId="2" showAll="0"/>
    <pivotField dataField="1" showAll="0"/>
    <pivotField dataField="1" numFmtId="2" showAll="0"/>
    <pivotField dataField="1" numFmtId="2" showAll="0"/>
    <pivotField dataField="1" showAll="0"/>
    <pivotField dragToRow="0" dragToCol="0" dragToPage="0" showAll="0" defaultSubtotal="0"/>
  </pivotFields>
  <rowFields count="1">
    <field x="0"/>
  </rowFields>
  <rowItems count="15"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Fields count="1">
    <field x="-2"/>
  </colFields>
  <colItems count="1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</colItems>
  <pageFields count="1">
    <pageField fld="1" item="3" hier="-1"/>
  </pageFields>
  <dataFields count="16">
    <dataField name="Suma de Abbott Lab" fld="3" baseField="0" baseItem="0"/>
    <dataField name="Suma de Stryker" fld="4" baseField="0" baseItem="0"/>
    <dataField name="Suma de Boston Scientific" fld="5" baseField="0" baseItem="0"/>
    <dataField name="Suma de Baxter" fld="6" baseField="0" baseItem="0"/>
    <dataField name="Suma de Zimmer Biomet" fld="7" baseField="0" baseItem="0"/>
    <dataField name="Suma de Insulet" fld="9" baseField="0" baseItem="0"/>
    <dataField name="Suma de Hologic" fld="11" baseField="0" baseItem="0"/>
    <dataField name="Suma de ResMed" fld="8" baseField="0" baseItem="0"/>
    <dataField name="Suma de Bio-Rad Lab" fld="10" baseField="0" baseItem="0"/>
    <dataField name="Suma de Thermo Fisher Scientific" fld="12" baseField="0" baseItem="0"/>
    <dataField name="Suma de Intuitive Surgical" fld="13" baseField="0" baseItem="0"/>
    <dataField name="Suma de Edward Lifescience" fld="14" baseField="0" baseItem="0"/>
    <dataField name="Suma de Varian Medical" fld="18" baseField="0" baseItem="0"/>
    <dataField name="Suma de Teleflex" fld="17" baseField="0" baseItem="0"/>
    <dataField name="Suma de Masimo" fld="19" baseField="0" baseItem="0"/>
    <dataField name="Suma de DexCom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3B9321-8F2F-4F73-9150-B43B80349844}" name="TablaDinámica4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R63" firstHeaderRow="0" firstDataRow="1" firstDataCol="1" rowPageCount="1" colPageCount="1"/>
  <pivotFields count="21">
    <pivotField axis="axisRow" showAll="0">
      <items count="60">
        <item x="0"/>
        <item x="4"/>
        <item x="8"/>
        <item x="12"/>
        <item x="16"/>
        <item x="20"/>
        <item x="24"/>
        <item x="28"/>
        <item x="32"/>
        <item x="36"/>
        <item x="40"/>
        <item x="44"/>
        <item x="48"/>
        <item x="52"/>
        <item x="56"/>
        <item x="1"/>
        <item x="5"/>
        <item x="9"/>
        <item x="13"/>
        <item x="17"/>
        <item x="21"/>
        <item x="25"/>
        <item x="29"/>
        <item x="33"/>
        <item x="37"/>
        <item x="41"/>
        <item x="45"/>
        <item x="49"/>
        <item x="53"/>
        <item x="57"/>
        <item x="2"/>
        <item x="6"/>
        <item x="10"/>
        <item x="14"/>
        <item x="18"/>
        <item x="22"/>
        <item x="26"/>
        <item x="30"/>
        <item x="34"/>
        <item x="38"/>
        <item x="42"/>
        <item x="46"/>
        <item x="50"/>
        <item x="54"/>
        <item x="58"/>
        <item x="3"/>
        <item x="7"/>
        <item x="11"/>
        <item x="15"/>
        <item x="19"/>
        <item x="23"/>
        <item x="27"/>
        <item x="31"/>
        <item x="35"/>
        <item x="39"/>
        <item x="43"/>
        <item x="47"/>
        <item x="51"/>
        <item x="5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showAll="0"/>
    <pivotField dataField="1" numFmtId="2" showAll="0"/>
    <pivotField dataField="1" showAll="0"/>
    <pivotField dataField="1" numFmtId="2" showAll="0"/>
    <pivotField dataField="1" numFmtId="2" showAll="0"/>
    <pivotField dataField="1" numFmtId="2" showAll="0"/>
    <pivotField dataField="1" numFmtId="2" showAll="0"/>
    <pivotField dataField="1" showAll="0"/>
    <pivotField dataField="1" numFmtId="2" showAll="0"/>
    <pivotField dataField="1" numFmtId="2" showAll="0"/>
    <pivotField dataField="1" showAll="0"/>
    <pivotField dragToRow="0" dragToCol="0" dragToPage="0" showAll="0" defaultSubtotal="0"/>
  </pivotFields>
  <rowFields count="1">
    <field x="0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pageFields count="1">
    <pageField fld="1" hier="-1"/>
  </pageFields>
  <dataFields count="17">
    <dataField name="Suma de Abbott Lab" fld="3" baseField="0" baseItem="0"/>
    <dataField name="Suma de Stryker" fld="4" baseField="0" baseItem="0"/>
    <dataField name="Suma de Insulet" fld="9" baseField="0" baseItem="0"/>
    <dataField name="Suma de Boston Scientific" fld="5" baseField="0" baseItem="0"/>
    <dataField name="Suma de Hologic" fld="11" baseField="0" baseItem="0"/>
    <dataField name="Suma de DexCom" fld="16" baseField="0" baseItem="0"/>
    <dataField name="Suma de Masimo" fld="19" baseField="0" baseItem="0"/>
    <dataField name="Suma de Baxter" fld="6" baseField="0" baseItem="0"/>
    <dataField name="Suma de Zimmer Biomet" fld="7" baseField="0" baseItem="0"/>
    <dataField name="Suma de ResMed" fld="8" baseField="0" baseItem="0"/>
    <dataField name="Suma de Bio-Rad Lab" fld="10" baseField="0" baseItem="0"/>
    <dataField name="Suma de Thermo Fisher Scientific" fld="12" baseField="0" baseItem="0"/>
    <dataField name="Suma de Intuitive Surgical" fld="13" baseField="0" baseItem="0"/>
    <dataField name="Suma de Edward Lifescience" fld="14" baseField="0" baseItem="0"/>
    <dataField name="Suma de IDEXX Lab" fld="15" baseField="0" baseItem="0"/>
    <dataField name="Suma de Teleflex" fld="17" baseField="0" baseItem="0"/>
    <dataField name="Suma de Varian Medical" fld="18" baseField="0" baseItem="0"/>
  </dataFields>
  <formats count="12">
    <format dxfId="13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7">
      <pivotArea dataOnly="0" outline="0" fieldPosition="0">
        <references count="1">
          <reference field="4294967294" count="1">
            <x v="1"/>
          </reference>
        </references>
      </pivotArea>
    </format>
    <format dxfId="136">
      <pivotArea dataOnly="0" outline="0" fieldPosition="0">
        <references count="1">
          <reference field="4294967294" count="1">
            <x v="2"/>
          </reference>
        </references>
      </pivotArea>
    </format>
    <format dxfId="13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34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33">
      <pivotArea dataOnly="0" outline="0" fieldPosition="0">
        <references count="1">
          <reference field="4294967294" count="1">
            <x v="5"/>
          </reference>
        </references>
      </pivotArea>
    </format>
    <format dxfId="132">
      <pivotArea dataOnly="0" outline="0" fieldPosition="0">
        <references count="1">
          <reference field="4294967294" count="1">
            <x v="6"/>
          </reference>
        </references>
      </pivotArea>
    </format>
    <format dxfId="131">
      <pivotArea dataOnly="0" outline="0" fieldPosition="0">
        <references count="1">
          <reference field="4294967294" count="1">
            <x v="7"/>
          </reference>
        </references>
      </pivotArea>
    </format>
    <format dxfId="130">
      <pivotArea dataOnly="0" outline="0" fieldPosition="0">
        <references count="1">
          <reference field="4294967294" count="1">
            <x v="8"/>
          </reference>
        </references>
      </pivotArea>
    </format>
    <format dxfId="129">
      <pivotArea dataOnly="0" outline="0" fieldPosition="0">
        <references count="1">
          <reference field="4294967294" count="1">
            <x v="9"/>
          </reference>
        </references>
      </pivotArea>
    </format>
    <format dxfId="128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27">
      <pivotArea dataOnly="0" labelOnly="1" outline="0" fieldPosition="0">
        <references count="1">
          <reference field="4294967294" count="6">
            <x v="11"/>
            <x v="12"/>
            <x v="13"/>
            <x v="14"/>
            <x v="15"/>
            <x v="1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E2802A-E741-45AD-A636-6F56C44CF287}" name="Tabla2" displayName="Tabla2" ref="A1:BJ22" totalsRowShown="0" headerRowDxfId="287" dataDxfId="285" headerRowBorderDxfId="286" tableBorderDxfId="284" totalsRowBorderDxfId="283">
  <autoFilter ref="A1:BJ22" xr:uid="{24E2802A-E741-45AD-A636-6F56C44CF287}"/>
  <tableColumns count="62">
    <tableColumn id="1" xr3:uid="{BE3A008C-F12F-44DD-A418-C282C51D45BB}" name="Material" dataDxfId="282"/>
    <tableColumn id="2" xr3:uid="{A9FC1393-FB9B-4B12-8E53-EBF2C28A0DD6}" name="Category" dataDxfId="281"/>
    <tableColumn id="3" xr3:uid="{CDB401BA-9A0E-4629-B17E-EB8EDFEEC4BF}" name="image" dataDxfId="280"/>
    <tableColumn id="4" xr3:uid="{4CA68482-B06F-4572-8C05-B9F27E02F3B5}" name="Q1 2005" dataDxfId="279"/>
    <tableColumn id="5" xr3:uid="{D5BD733D-4C2B-4201-BD3F-A001C11A4043}" name="Q2 2005" dataDxfId="278"/>
    <tableColumn id="6" xr3:uid="{E81ADC75-150B-45B2-8FFB-C042186BECF3}" name="Q3 2005" dataDxfId="277"/>
    <tableColumn id="7" xr3:uid="{D0470B25-FBF9-4619-9294-504069A861D3}" name="Q4 2005" dataDxfId="276"/>
    <tableColumn id="8" xr3:uid="{7B72DD6B-2938-4E61-9E30-21D0D8B9AB67}" name="Q1 2006" dataDxfId="275"/>
    <tableColumn id="9" xr3:uid="{31D1092B-21EE-4E5B-A6BE-80EB2EBD71BF}" name="Q2 2006" dataDxfId="274"/>
    <tableColumn id="10" xr3:uid="{9B0A8AA0-0F84-4B7B-9740-87CB5BA3AD8A}" name="Q3 2006" dataDxfId="273"/>
    <tableColumn id="11" xr3:uid="{13855E25-5927-4F71-9F6B-DC524690DBA8}" name="Q4 2006" dataDxfId="272"/>
    <tableColumn id="12" xr3:uid="{A4776809-366B-461A-A496-8E46A0B0BC96}" name="Q1 2007" dataDxfId="271"/>
    <tableColumn id="13" xr3:uid="{198FA1E9-11FC-46CF-8358-3BC7DB8D7C58}" name="Q2 2007" dataDxfId="270"/>
    <tableColumn id="14" xr3:uid="{C2D31AB2-63EC-4515-ADAF-A31F35C39F81}" name="Q3 2007" dataDxfId="269"/>
    <tableColumn id="15" xr3:uid="{EAF3794C-0A7E-48F5-8015-C27E8AF298D4}" name="Q4 2007" dataDxfId="268"/>
    <tableColumn id="16" xr3:uid="{FD21F18B-C0B1-4944-8894-4916D530D530}" name="Q1 2008" dataDxfId="267"/>
    <tableColumn id="17" xr3:uid="{7AC23F89-9FEA-4F11-8451-F9C1A8C9407F}" name="Q2 2008" dataDxfId="266"/>
    <tableColumn id="18" xr3:uid="{98B76A8D-70F0-4EFD-A31A-B9BC9A800781}" name="Q3 2008" dataDxfId="265"/>
    <tableColumn id="19" xr3:uid="{C14075FF-6F29-409E-A658-8EC81541AE17}" name="Q4 2008" dataDxfId="264"/>
    <tableColumn id="20" xr3:uid="{1EE39EB8-152B-4006-8DD3-5A81E3E5E6EC}" name="Q1 2009" dataDxfId="263"/>
    <tableColumn id="21" xr3:uid="{AA32D810-3F7D-49E8-A4C2-2D66B6502508}" name="Q2 2009" dataDxfId="262"/>
    <tableColumn id="22" xr3:uid="{D8AB6F33-715F-4F61-AA60-A5019B134331}" name="Q3 2009" dataDxfId="261"/>
    <tableColumn id="23" xr3:uid="{675FAD1F-3706-48F8-AA09-CCB98F8E2052}" name="Q4 2009" dataDxfId="260"/>
    <tableColumn id="24" xr3:uid="{F3D7625C-D8B1-413C-96FC-133329759043}" name="Q1 2010" dataDxfId="259"/>
    <tableColumn id="25" xr3:uid="{AC3DA3CC-24E9-468F-81CA-0F9DB8D82B65}" name="Q2 2010" dataDxfId="258"/>
    <tableColumn id="26" xr3:uid="{AAE42079-0546-4659-9272-958260C16254}" name="Q3 2010" dataDxfId="257"/>
    <tableColumn id="27" xr3:uid="{3A3BB2E5-9733-42CD-B9E7-238D023C91CB}" name="Q4 2010" dataDxfId="256"/>
    <tableColumn id="28" xr3:uid="{CDF1CF5C-1AEB-44F3-8C12-71ACA33E78B8}" name="Q1 2011" dataDxfId="255"/>
    <tableColumn id="29" xr3:uid="{B5513EF7-A592-470E-8524-3318C501620F}" name="Q2 2011" dataDxfId="254"/>
    <tableColumn id="30" xr3:uid="{112D9980-14C5-4E94-85FE-E36CE1FD5515}" name="Q3 2011" dataDxfId="253"/>
    <tableColumn id="31" xr3:uid="{CADF45D6-3921-48D3-86F3-F33F131C2E7F}" name="Q4 2011" dataDxfId="252"/>
    <tableColumn id="32" xr3:uid="{31E0AD56-BAC0-4610-BBA9-8CB398C75F74}" name="Q1 2012" dataDxfId="251"/>
    <tableColumn id="33" xr3:uid="{967A24E7-A662-4553-9ED3-5885082C3A99}" name="Q2 2012" dataDxfId="250"/>
    <tableColumn id="34" xr3:uid="{217908DF-A9F9-4466-9575-B39A8E66841A}" name="Q3 2012" dataDxfId="249"/>
    <tableColumn id="35" xr3:uid="{D62AFF97-5695-4263-B865-06EC536EB2A1}" name="Q4 2012" dataDxfId="248"/>
    <tableColumn id="36" xr3:uid="{851190A1-7752-47AB-B713-355196A17DBE}" name="Q1 2013" dataDxfId="247"/>
    <tableColumn id="37" xr3:uid="{127D10E4-9BCB-44F5-A7C7-43BC1BC3A52E}" name="Q2 2013" dataDxfId="246"/>
    <tableColumn id="38" xr3:uid="{77B95E6B-777B-4C54-B75A-38A3DDFDB716}" name="Q3 2013" dataDxfId="245"/>
    <tableColumn id="39" xr3:uid="{9A946348-3E6C-4F65-8B79-948811FC77F2}" name="Q4 2013" dataDxfId="244"/>
    <tableColumn id="40" xr3:uid="{539E9D1A-6F1E-469B-9898-B4D9F44C25F1}" name="Q1 2014" dataDxfId="243"/>
    <tableColumn id="41" xr3:uid="{84F089B1-DC5E-47AB-865E-654BCA97B509}" name="Q2 2014" dataDxfId="242"/>
    <tableColumn id="42" xr3:uid="{CB8ED6BD-A4F3-4ACB-BD70-31BFBB77633A}" name="Q3 2014" dataDxfId="241"/>
    <tableColumn id="43" xr3:uid="{1C64FD27-DC26-4479-9BE8-1FB095B368B9}" name="Q4 2014" dataDxfId="240"/>
    <tableColumn id="44" xr3:uid="{B3C1825C-5484-4A9F-8191-B2881B84DBAB}" name="Q1 2015" dataDxfId="239"/>
    <tableColumn id="45" xr3:uid="{3D2D8FCE-9AEA-4FFC-A901-00E06B9CEC0D}" name="Q2 2015" dataDxfId="238"/>
    <tableColumn id="46" xr3:uid="{11F92139-DA4D-4875-A1C0-E81D02A15A84}" name="Q3 2015" dataDxfId="237"/>
    <tableColumn id="47" xr3:uid="{834863CE-735B-4B17-ABDD-1464521EFC93}" name="Q4 2015" dataDxfId="236"/>
    <tableColumn id="48" xr3:uid="{98538509-7756-4DB4-BD9D-255A479FC6B4}" name="Q1 2016" dataDxfId="235"/>
    <tableColumn id="49" xr3:uid="{F96D7C11-99FF-4C6B-80F2-774216793132}" name="Q2 2016" dataDxfId="234"/>
    <tableColumn id="50" xr3:uid="{AC3B6319-457D-4D01-AD95-407E4FF25A1C}" name="Q3 2016" dataDxfId="233"/>
    <tableColumn id="51" xr3:uid="{1B8D4EE7-8F8F-4EA0-B8FB-7C591F723DF1}" name="Q4 2016" dataDxfId="232"/>
    <tableColumn id="52" xr3:uid="{244E873B-4257-42F2-8324-BC7B571DEC1C}" name="Q1 2017" dataDxfId="231"/>
    <tableColumn id="53" xr3:uid="{4EB2B7C0-D66F-4FDE-A432-7E1B88673853}" name="Q2 2017" dataDxfId="230"/>
    <tableColumn id="54" xr3:uid="{31163826-6B7F-4FDF-8C25-47F1CC684493}" name="Q3 2017" dataDxfId="229"/>
    <tableColumn id="55" xr3:uid="{CCE383CA-2482-41D7-8063-258E2A7B9944}" name="Q4 2017" dataDxfId="228"/>
    <tableColumn id="56" xr3:uid="{9A3A5210-CE05-406B-9D4A-3DF2B574EA8C}" name="Q1 2018" dataDxfId="227"/>
    <tableColumn id="57" xr3:uid="{3288A89C-1D1C-404B-9FC5-873EC2A74DF6}" name="Q2 2018" dataDxfId="226"/>
    <tableColumn id="58" xr3:uid="{CD6E34D6-7992-417B-9D7E-A85E8FA8AE39}" name="Q3 2018" dataDxfId="225"/>
    <tableColumn id="59" xr3:uid="{5420EE44-C095-44AE-8CD7-A8310C825C38}" name="Q4 2018" dataDxfId="224"/>
    <tableColumn id="60" xr3:uid="{58B22D87-6FC0-443B-A14D-EF0C0CE8C603}" name="Q1 2019" dataDxfId="223"/>
    <tableColumn id="61" xr3:uid="{D9F87119-5B8C-4160-A3C3-ABE4E4A185E8}" name="Q2 2019" dataDxfId="222"/>
    <tableColumn id="62" xr3:uid="{927C4F20-99C3-47A7-8234-F02BFA6F5507}" name="Q3 2019" dataDxfId="2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52B144-3EAD-4E42-89A5-6BC9EE2190FC}" name="Tabla6" displayName="Tabla6" ref="A1:Y60" totalsRowShown="0" headerRowDxfId="220" headerRowBorderDxfId="219" tableBorderDxfId="218" totalsRowBorderDxfId="217">
  <autoFilter ref="A1:Y60" xr:uid="{4452B144-3EAD-4E42-89A5-6BC9EE2190FC}"/>
  <tableColumns count="25">
    <tableColumn id="26" xr3:uid="{E3830093-6300-4FB6-9F35-064649FCB666}" name="Periodo t" dataDxfId="216"/>
    <tableColumn id="1" xr3:uid="{83404287-B359-425D-91A3-A84B0AAF3F23}" name="Periodo" dataDxfId="215"/>
    <tableColumn id="25" xr3:uid="{B1717E0A-52E2-46E5-A99A-B4E73A1D38E4}" name="Cuatrimestre" dataDxfId="214">
      <calculatedColumnFormula>LEFT(Tabla6[[#This Row],[Periodo]],2)</calculatedColumnFormula>
    </tableColumn>
    <tableColumn id="24" xr3:uid="{8DEC66B2-9069-48C3-AE9E-2298F9E7EF94}" name="Año" dataDxfId="213">
      <calculatedColumnFormula>RIGHT(Tabla6[[#This Row],[Periodo]],5)</calculatedColumnFormula>
    </tableColumn>
    <tableColumn id="2" xr3:uid="{5D4E89B7-F131-4971-9A2A-87F4CB359C33}" name="Abbott Lab" dataDxfId="212"/>
    <tableColumn id="3" xr3:uid="{83E6009F-94CC-4F21-9F32-B9208784948F}" name="Medtronic" dataDxfId="211"/>
    <tableColumn id="4" xr3:uid="{D2A4C227-43BE-439D-BC6E-09F84B578D25}" name="Stryker" dataDxfId="210"/>
    <tableColumn id="5" xr3:uid="{2E16C06E-E2C9-4C85-A24F-D30606DB619E}" name="Boston Scientific" dataDxfId="209"/>
    <tableColumn id="6" xr3:uid="{BA0CAF05-9C72-409E-8F4A-8A3A2C119CF0}" name="Baxter" dataDxfId="208"/>
    <tableColumn id="7" xr3:uid="{516CE9D9-C21B-40EA-914A-9551987BD7CE}" name="Zimmer Biomet" dataDxfId="207"/>
    <tableColumn id="8" xr3:uid="{D07727B2-81BB-4573-AD77-D6DA61B13F07}" name="ResMed" dataDxfId="206"/>
    <tableColumn id="9" xr3:uid="{21684565-ED9E-42B6-8F65-B00BFC23C100}" name="Smith &amp; Nephew" dataDxfId="205"/>
    <tableColumn id="10" xr3:uid="{A399F039-18B8-422C-99AF-73E4750BC765}" name="Insulet" dataDxfId="204"/>
    <tableColumn id="11" xr3:uid="{FD12D742-A865-4EAB-AF5D-B53E12E2B5B0}" name="Bio-Rad Lab" dataDxfId="203"/>
    <tableColumn id="12" xr3:uid="{B63407A8-2B59-4E02-96A2-83850011101F}" name="Hologic" dataDxfId="202"/>
    <tableColumn id="13" xr3:uid="{C9E7E9B3-6715-413A-9615-E260F71AEAE1}" name="Thermo Fisher Scientific" dataDxfId="201"/>
    <tableColumn id="14" xr3:uid="{C4238911-4FB8-490F-80EC-8465D0940138}" name="Intuitive Surgical" dataDxfId="200"/>
    <tableColumn id="15" xr3:uid="{56837B67-EAA1-4E80-914F-2D738BA6A28C}" name="Edward Lifescience" dataDxfId="199"/>
    <tableColumn id="16" xr3:uid="{07D50DC3-6EA3-4972-817A-693351655F31}" name="Fresenius Medical Care" dataDxfId="198"/>
    <tableColumn id="17" xr3:uid="{9203296E-11EC-473F-B515-71B4D94CD809}" name="IDEXX Lab" dataDxfId="197"/>
    <tableColumn id="18" xr3:uid="{0319D9B6-21B7-424D-83D7-6CAF55A530A9}" name="DexCom" dataDxfId="196"/>
    <tableColumn id="19" xr3:uid="{D5412717-E72B-4E9F-BB57-EBF9DF3B9F9A}" name="Teleflex" dataDxfId="195"/>
    <tableColumn id="20" xr3:uid="{F6D2B03B-021E-47E9-B81A-E255D349D68A}" name="STERIS" dataDxfId="194"/>
    <tableColumn id="21" xr3:uid="{46BC93B5-2BCB-4096-94E9-E0A47BB94360}" name="Varian Medical" dataDxfId="193"/>
    <tableColumn id="22" xr3:uid="{84E74A93-E175-4893-BD2B-E2F956FE57A0}" name="Masimo" dataDxfId="19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1174E92-ECEB-4C15-B917-63C95535DF01}" name="Tabla12" displayName="Tabla12" ref="A20:B35" totalsRowShown="0" headerRowDxfId="191" headerRowBorderDxfId="190">
  <autoFilter ref="A20:B35" xr:uid="{91174E92-ECEB-4C15-B917-63C95535DF01}"/>
  <tableColumns count="2">
    <tableColumn id="1" xr3:uid="{EB89C604-262D-4D8D-838E-A6C21B825AD0}" name="Etiquetas de fila" dataDxfId="189"/>
    <tableColumn id="2" xr3:uid="{1BA81E3A-2470-4132-8D0C-0710C0D87AC9}" name="Total EU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8DAF22C-5612-4381-82F2-82DD7C8346B1}" name="Tabla10" displayName="Tabla10" ref="A1:S17" totalsRowShown="0">
  <autoFilter ref="A1:S17" xr:uid="{A8DAF22C-5612-4381-82F2-82DD7C8346B1}"/>
  <tableColumns count="19">
    <tableColumn id="1" xr3:uid="{72F54C86-5C5A-4760-B4B9-412A9C0DC343}" name="Año"/>
    <tableColumn id="2" xr3:uid="{90C1F883-4006-496D-89B8-6E10BA0E5F3D}" name=" Abbott Lab"/>
    <tableColumn id="3" xr3:uid="{B6FBB5E5-FC9D-42B6-A921-413517CDB9E6}" name=" Stryker"/>
    <tableColumn id="4" xr3:uid="{87B150BB-5522-4B74-AD6D-2E73D51007CC}" name=" Boston Scientific"/>
    <tableColumn id="5" xr3:uid="{A61D983F-33FB-4673-947A-32075F713822}" name=" Baxter"/>
    <tableColumn id="6" xr3:uid="{E72A56E6-2811-4969-8350-4C873C488268}" name=" Zimmer Biomet"/>
    <tableColumn id="7" xr3:uid="{50A8D680-BC9F-4D2E-9206-1614E0917A0C}" name=" ResMed"/>
    <tableColumn id="8" xr3:uid="{29925AFA-634B-4729-B5E5-13DE08EDD1FC}" name=" Masimo"/>
    <tableColumn id="9" xr3:uid="{D735B50D-973F-443C-B40D-CE800A5468A8}" name=" DexCom"/>
    <tableColumn id="10" xr3:uid="{81BA87C8-BEDB-4B60-BBA0-50A95B1195F3}" name=" Hologic"/>
    <tableColumn id="11" xr3:uid="{5CDD331A-A877-4FB4-9346-A83B2CDE1C53}" name=" Insulet"/>
    <tableColumn id="12" xr3:uid="{03160896-7357-4B92-A89E-0B4F4D611DBA}" name=" Bio-Rad Lab"/>
    <tableColumn id="13" xr3:uid="{2A649E2A-F148-401F-97C5-FA39018F9906}" name=" Thermo Fisher Scientific"/>
    <tableColumn id="14" xr3:uid="{11C85C42-7DA8-446E-8670-142212CFC062}" name=" Intuitive Surgical"/>
    <tableColumn id="15" xr3:uid="{6C845ADE-427D-468D-ABD5-D4042AD07691}" name=" Edward Lifescience"/>
    <tableColumn id="16" xr3:uid="{296559E8-CE51-4338-A70B-3FFF937EFA66}" name=" IDEXX Lab"/>
    <tableColumn id="17" xr3:uid="{97984F71-C0C3-4A9A-BEE4-69B2070D5DB1}" name=" Teleflex"/>
    <tableColumn id="18" xr3:uid="{9A8A0233-4CF5-407D-8523-37FBD464E2FA}" name=" Varian Medical"/>
    <tableColumn id="19" xr3:uid="{3378404E-6E2B-41E7-9A42-AFEFC4ACC74F}" name="Total US" dataDxfId="188">
      <calculatedColumnFormula>SUM(B2:R2)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124D680-A119-470A-80BB-897A96361E2E}" name="Tabla11" displayName="Tabla11" ref="A22:B37" totalsRowShown="0" headerRowDxfId="187" headerRowBorderDxfId="186" tableBorderDxfId="185">
  <autoFilter ref="A22:B37" xr:uid="{9124D680-A119-470A-80BB-897A96361E2E}"/>
  <tableColumns count="2">
    <tableColumn id="1" xr3:uid="{E08C5BDC-3F84-4E4D-A9D5-9A0C94AAC5DB}" name="Año" dataDxfId="184"/>
    <tableColumn id="2" xr3:uid="{BF84F76C-6682-4BF7-B07E-3102AF1DE6EB}" name="Total 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FDDF659-D6E4-4A6F-B92A-C09976E0033D}" name="Tabla921" displayName="Tabla921" ref="A1:I61" totalsRowCount="1" headerRowDxfId="183">
  <autoFilter ref="A1:I60" xr:uid="{F5EF3342-9D8E-49F8-80EF-6947FA79A133}"/>
  <tableColumns count="9">
    <tableColumn id="1" xr3:uid="{2672F01A-29ED-4A5F-AFD9-9415E0103E75}" name="Tiempo" dataDxfId="182" totalsRowDxfId="181"/>
    <tableColumn id="2" xr3:uid="{8539668D-4289-46D6-BC23-0DA8A539F974}" name="Q -YEAR " dataDxfId="180" totalsRowDxfId="179"/>
    <tableColumn id="3" xr3:uid="{6258F3C3-D66E-4A28-9D7D-D7AE604DBF5D}" name="Datos originales Yt" totalsRowFunction="sum"/>
    <tableColumn id="4" xr3:uid="{93E1A7AC-0026-4396-91E4-81C2E91B1966}" name="Y atarsada un periodo Y t-1" dataDxfId="178">
      <calculatedColumnFormula>C1</calculatedColumnFormula>
    </tableColumn>
    <tableColumn id="5" xr3:uid="{F799B080-D063-4D33-9AE4-490AA5F8190E}" name="Y atarsada un periodo Y t-2"/>
    <tableColumn id="6" xr3:uid="{A6E50F78-5739-4B29-A969-9168D70BCDB1}" name="(Yt -Ȳ)" totalsRowFunction="sum" dataDxfId="177" totalsRowDxfId="176">
      <calculatedColumnFormula>C2-$D$65</calculatedColumnFormula>
    </tableColumn>
    <tableColumn id="7" xr3:uid="{F9E93C96-5660-427C-8D06-95B2188F0D22}" name="(Yt-1 -Ȳ)" dataDxfId="175" totalsRowDxfId="174">
      <calculatedColumnFormula>F1</calculatedColumnFormula>
    </tableColumn>
    <tableColumn id="8" xr3:uid="{875C033B-2C26-4025-A905-B6CEA85CDD08}" name="(Yt-1 -Ȳ)2" totalsRowFunction="sum" dataDxfId="173">
      <calculatedColumnFormula>POWER(F2,2)</calculatedColumnFormula>
    </tableColumn>
    <tableColumn id="9" xr3:uid="{7474CDF0-C995-4B16-A70F-B153F323AB05}" name="(Yt -Ȳ)(Yt -1 -Ȳ)" totalsRowFunction="sum" dataDxfId="172">
      <calculatedColumnFormula>F2*G2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4E76487-19D3-4786-8EF1-2F7408E127CC}" name="Tabla1322" displayName="Tabla1322" ref="A70:I129" totalsRowShown="0" headerRowDxfId="171" headerRowBorderDxfId="170" tableBorderDxfId="169">
  <autoFilter ref="A70:I129" xr:uid="{F69D4B85-7216-4432-95BB-EE4FC05A0882}"/>
  <tableColumns count="9">
    <tableColumn id="1" xr3:uid="{7E86380A-B867-4431-9BBC-514F73E7FACF}" name="Tiempo" dataDxfId="168"/>
    <tableColumn id="2" xr3:uid="{E405A311-3285-4164-92C4-8043018A3257}" name="Q -YEAR " dataDxfId="167"/>
    <tableColumn id="3" xr3:uid="{AE50822D-38C7-4299-9906-451E87E13022}" name="Datos originales Yt" dataDxfId="166"/>
    <tableColumn id="4" xr3:uid="{04CBCC5A-88CB-4D24-ACF6-7DFA45F94E00}" name="Y atarsada un periodo Y t-2">
      <calculatedColumnFormula>C69</calculatedColumnFormula>
    </tableColumn>
    <tableColumn id="5" xr3:uid="{7B759FD7-6069-4F0E-8C3E-DE5B923E54F3}" name="Y atarsada un periodo Y t-22" dataDxfId="165">
      <calculatedColumnFormula>C71-$D$65</calculatedColumnFormula>
    </tableColumn>
    <tableColumn id="6" xr3:uid="{83ACC736-624E-41A3-AFEA-A35D712CA6CD}" name="(Yt -Ȳ)" dataDxfId="164">
      <calculatedColumnFormula>E69</calculatedColumnFormula>
    </tableColumn>
    <tableColumn id="7" xr3:uid="{815F4549-BD37-4B4D-8F22-AB90766A89BC}" name="(Yt-1 -Ȳ)"/>
    <tableColumn id="8" xr3:uid="{E728EB77-38F6-4135-AED1-A95750F3D5C7}" name="(Yt-1 -Ȳ)2" dataDxfId="163">
      <calculatedColumnFormula>POWER(Tabla1322[[#This Row],[Y atarsada un periodo Y t-22]],2)</calculatedColumnFormula>
    </tableColumn>
    <tableColumn id="9" xr3:uid="{38EC6E7F-26C8-496D-BD22-BB00DB03B782}" name="(Yt -Ȳ)(Yt -1 -Ȳ)" dataDxfId="162">
      <calculatedColumnFormula>Tabla1322[[#This Row],[Y atarsada un periodo Y t-22]]*Tabla1322[[#This Row],[(Yt-1 -Ȳ)2]]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EF3342-9D8E-49F8-80EF-6947FA79A133}" name="Tabla9" displayName="Tabla9" ref="A1:I61" totalsRowCount="1" headerRowDxfId="161">
  <autoFilter ref="A1:I60" xr:uid="{F5EF3342-9D8E-49F8-80EF-6947FA79A133}"/>
  <tableColumns count="9">
    <tableColumn id="1" xr3:uid="{DDBCCEA6-A7C9-44CD-A021-725CBB6AB2F3}" name="Tiempo" dataDxfId="160" totalsRowDxfId="159"/>
    <tableColumn id="2" xr3:uid="{E1E657A9-A619-4B9F-9A20-C43019EAAD8E}" name="Q -YEAR " dataDxfId="158" totalsRowDxfId="157"/>
    <tableColumn id="3" xr3:uid="{141CC830-39F8-40BE-B28B-BB233663D6C3}" name="Datos originales Yt" totalsRowFunction="sum"/>
    <tableColumn id="4" xr3:uid="{7F436B8B-B83D-41C2-BC10-DC404AA29789}" name="Y atarsada un periodo Y t-1" dataDxfId="156">
      <calculatedColumnFormula>C1</calculatedColumnFormula>
    </tableColumn>
    <tableColumn id="5" xr3:uid="{9C834E1E-83B7-4541-9E74-2C8AF4CE2A4E}" name="Y atarsada un periodo Y t-2"/>
    <tableColumn id="6" xr3:uid="{F88E3BD6-53C2-4460-AE29-0C20F4928815}" name="(Yt -Ȳ)" totalsRowFunction="sum" dataDxfId="155" totalsRowDxfId="154">
      <calculatedColumnFormula>C2-$D$66</calculatedColumnFormula>
    </tableColumn>
    <tableColumn id="7" xr3:uid="{250A82AD-F127-4958-8865-20A397930C24}" name="(Yt-1 -Ȳ)" dataDxfId="153" totalsRowDxfId="152">
      <calculatedColumnFormula>F1</calculatedColumnFormula>
    </tableColumn>
    <tableColumn id="8" xr3:uid="{C0191E4F-CAAF-4F1D-A139-23C72CD53A25}" name="(Yt-1 -Ȳ)2" totalsRowFunction="sum" dataDxfId="151">
      <calculatedColumnFormula>POWER(F2,2)</calculatedColumnFormula>
    </tableColumn>
    <tableColumn id="9" xr3:uid="{F2139E8D-8F84-49B4-82A6-E076D86DBC2B}" name="(Yt -Ȳ)(Yt -1 -Ȳ)" totalsRowFunction="sum" dataDxfId="150">
      <calculatedColumnFormula>F2*G2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69D4B85-7216-4432-95BB-EE4FC05A0882}" name="Tabla13" displayName="Tabla13" ref="A71:I130" totalsRowShown="0" headerRowDxfId="149" headerRowBorderDxfId="148" tableBorderDxfId="147">
  <autoFilter ref="A71:I130" xr:uid="{F69D4B85-7216-4432-95BB-EE4FC05A0882}"/>
  <tableColumns count="9">
    <tableColumn id="1" xr3:uid="{DBC996B7-9E0C-43E8-B147-08E069CF2C10}" name="Tiempo" dataDxfId="146"/>
    <tableColumn id="2" xr3:uid="{43D789CD-AFB6-47E3-AEE3-00C333A17111}" name="Q -YEAR " dataDxfId="145"/>
    <tableColumn id="3" xr3:uid="{8EBCDB4F-87FB-49FE-8D87-B23695BC0EB1}" name="Datos originales Yt" dataDxfId="144"/>
    <tableColumn id="4" xr3:uid="{15943F4A-A9A0-4609-81EC-ED71C5F63E0C}" name="Y atarsada un periodo Y t-2">
      <calculatedColumnFormula>C70</calculatedColumnFormula>
    </tableColumn>
    <tableColumn id="5" xr3:uid="{FF22CF4F-095D-4527-AAB3-575FC5754E82}" name="Y atarsada un periodo Y t-22" dataDxfId="143">
      <calculatedColumnFormula>C72-$D$66</calculatedColumnFormula>
    </tableColumn>
    <tableColumn id="6" xr3:uid="{B08AFDAB-09A8-42E5-8B8C-570077DF7798}" name="(Yt -Ȳ)" dataDxfId="142">
      <calculatedColumnFormula>E70</calculatedColumnFormula>
    </tableColumn>
    <tableColumn id="7" xr3:uid="{07CABDAE-FA04-43F9-9101-434527F7ED66}" name="(Yt-1 -Ȳ)"/>
    <tableColumn id="8" xr3:uid="{5A230E69-A916-47BA-81A7-B1A98D0D9FBC}" name="(Yt-1 -Ȳ)2" dataDxfId="141">
      <calculatedColumnFormula>POWER(Tabla13[[#This Row],[Y atarsada un periodo Y t-22]],2)</calculatedColumnFormula>
    </tableColumn>
    <tableColumn id="9" xr3:uid="{7656E3EB-1647-45D0-A18C-223B05A0C48A}" name="(Yt -Ȳ)(Yt -1 -Ȳ)" dataDxfId="140">
      <calculatedColumnFormula>Tabla13[[#This Row],[Y atarsada un periodo Y t-22]]*Tabla13[[#This Row],[(Yt-1 -Ȳ)2]]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1DCDCB-C5E1-46FE-A50C-37B5E2D7508B}" name="Tabla1" displayName="Tabla1" ref="A22:E37" totalsRowShown="0">
  <autoFilter ref="A22:E37" xr:uid="{D21DCDCB-C5E1-46FE-A50C-37B5E2D7508B}"/>
  <tableColumns count="5">
    <tableColumn id="1" xr3:uid="{73DAE4B3-50DE-4CE9-8327-94A6CF9C9C29}" name="Año" dataDxfId="139"/>
    <tableColumn id="2" xr3:uid="{07936D50-AADD-4B15-BD70-15E798A02160}" name="Q1"/>
    <tableColumn id="3" xr3:uid="{D5327899-C2B4-4B45-BDBC-38A52F5D596E}" name="Q2"/>
    <tableColumn id="4" xr3:uid="{6325CBE2-31EA-438E-8DDC-AB6049A9870E}" name="Q3"/>
    <tableColumn id="5" xr3:uid="{6FE4F66E-858D-4212-BCE7-0575B0032BAE}" name="Q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FBCBF3-C0A3-4084-9CAD-CDF9DF9F6C77}" name="Tabla5" displayName="Tabla5" ref="A1:H60" totalsRowShown="0" headerRowDxfId="126" headerRowBorderDxfId="125" tableBorderDxfId="124" totalsRowBorderDxfId="123">
  <autoFilter ref="A1:H60" xr:uid="{24FBCBF3-C0A3-4084-9CAD-CDF9DF9F6C77}"/>
  <tableColumns count="8">
    <tableColumn id="1" xr3:uid="{69C10F3C-6F77-495B-A31C-4D68C392FB0F}" name="Periodo" dataDxfId="122"/>
    <tableColumn id="7" xr3:uid="{03071142-C40D-4003-BD88-F66C868A84E6}" name="Cuatrimestre" dataDxfId="121">
      <calculatedColumnFormula>LEFT(Tabla4[[#This Row],[Periodo]],2)</calculatedColumnFormula>
    </tableColumn>
    <tableColumn id="6" xr3:uid="{87D25B9A-C3CC-42C0-A1D9-C7DE33CBC2FD}" name="Año" dataDxfId="120">
      <calculatedColumnFormula>RIGHT(Tabla6[[#This Row],[Periodo]],5)</calculatedColumnFormula>
    </tableColumn>
    <tableColumn id="2" xr3:uid="{47F0D04E-49D7-4BB3-B775-01654C24E3C6}" name="Medtronic" dataDxfId="119"/>
    <tableColumn id="3" xr3:uid="{EB8B1925-A940-4C5A-9CEE-54047B0EC55B}" name="Smith &amp; Nephew" dataDxfId="118"/>
    <tableColumn id="4" xr3:uid="{1A2594CA-9D2A-4F1A-86F6-627DF862B8BE}" name="Fresenius Medical Care" dataDxfId="117"/>
    <tableColumn id="5" xr3:uid="{F3493A62-8264-47FE-A645-A2A4B65F7346}" name="STERIS" dataDxfId="116"/>
    <tableColumn id="8" xr3:uid="{DCFE6CA8-770C-4E61-972E-4095D33E2AFC}" name="TOTAL" dataDxfId="115">
      <calculatedColumnFormula>SUM(Tabla5[[#This Row],[Medtronic]:[STERIS]])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141468-38DA-41A7-BD4B-2C05BA038CA2}" name="Tabla4" displayName="Tabla4" ref="A1:T60" totalsRowShown="0" headerRowDxfId="114" dataDxfId="112" headerRowBorderDxfId="113" tableBorderDxfId="111" totalsRowBorderDxfId="110">
  <autoFilter ref="A1:T60" xr:uid="{A5141468-38DA-41A7-BD4B-2C05BA038CA2}"/>
  <tableColumns count="20">
    <tableColumn id="1" xr3:uid="{1E4627BE-66B7-48FD-8CC0-742A8A4A795E}" name="Periodo" dataDxfId="109"/>
    <tableColumn id="20" xr3:uid="{DAE22E7C-EBFF-4B59-86B8-7504A0AC1887}" name="Cuatrimestre" dataDxfId="108">
      <calculatedColumnFormula>LEFT(Tabla4[[#This Row],[Periodo]],2)</calculatedColumnFormula>
    </tableColumn>
    <tableColumn id="19" xr3:uid="{0BAE9EA7-E9BB-48AD-81E2-3D3329DA733E}" name="Año" dataDxfId="107">
      <calculatedColumnFormula>RIGHT(Tabla4[[#This Row],[Periodo]],5)</calculatedColumnFormula>
    </tableColumn>
    <tableColumn id="2" xr3:uid="{F8B4B024-A7E5-465B-B349-34AD5A98AA2B}" name="Abbott Lab" dataDxfId="106"/>
    <tableColumn id="3" xr3:uid="{09674F69-E316-414E-9B04-8FAF9C9131E6}" name="Stryker" dataDxfId="105"/>
    <tableColumn id="4" xr3:uid="{E567A895-D185-40B1-B413-E2AA77C3AE88}" name="Boston Scientific" dataDxfId="104"/>
    <tableColumn id="5" xr3:uid="{ED3DA18B-ECC6-4DC5-9260-E2C26BC4220E}" name="Baxter" dataDxfId="103"/>
    <tableColumn id="6" xr3:uid="{C5079D58-8385-4C02-9B19-8B6F34578A3C}" name="Zimmer Biomet" dataDxfId="102"/>
    <tableColumn id="7" xr3:uid="{F34195A5-9328-4F77-8EA6-6F0E2BFF40F8}" name="ResMed" dataDxfId="101"/>
    <tableColumn id="8" xr3:uid="{0AE1EF05-EDFB-4FC5-805F-63BDF2AF46AF}" name="Insulet" dataDxfId="100"/>
    <tableColumn id="9" xr3:uid="{8099C736-70C4-4AAB-8ABF-B861E6B2DF48}" name="Bio-Rad Lab" dataDxfId="99"/>
    <tableColumn id="10" xr3:uid="{59EE8D40-8029-4F9C-AE0B-B87622E17E4A}" name="Hologic" dataDxfId="98"/>
    <tableColumn id="11" xr3:uid="{B24A6EF0-1231-4129-8385-F39186FCD4F1}" name="Thermo Fisher Scientific" dataDxfId="97"/>
    <tableColumn id="12" xr3:uid="{BC867BE8-C97F-4F1C-AEA6-809134ADA2B4}" name="Intuitive Surgical" dataDxfId="96"/>
    <tableColumn id="13" xr3:uid="{910B10A6-2D4C-45B1-AD74-C538CBA48611}" name="Edward Lifescience" dataDxfId="95"/>
    <tableColumn id="14" xr3:uid="{5CA72E28-14F2-45DA-9B59-61AC645660EF}" name="IDEXX Lab" dataDxfId="94"/>
    <tableColumn id="15" xr3:uid="{0369FDCD-E0AD-47BC-904F-BE75C78968F7}" name="DexCom" dataDxfId="93"/>
    <tableColumn id="16" xr3:uid="{4EFDAD3D-EFBF-40FC-AF06-A4D1AF16AB8F}" name="Teleflex" dataDxfId="92"/>
    <tableColumn id="17" xr3:uid="{9D88F73A-C91A-4740-8C48-89F211B9AF32}" name="Varian Medical" dataDxfId="91"/>
    <tableColumn id="18" xr3:uid="{7FA1EEAC-B4E3-4F57-8BC0-F13721D8FE56}" name="Masimo" dataDxfId="9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01CF71-C3BD-4AF4-97EB-79D125D8B899}" name="Tabla7" displayName="Tabla7" ref="A1:T60" totalsRowShown="0">
  <autoFilter ref="A1:T60" xr:uid="{5A01CF71-C3BD-4AF4-97EB-79D125D8B899}"/>
  <sortState xmlns:xlrd2="http://schemas.microsoft.com/office/spreadsheetml/2017/richdata2" ref="A2:T60">
    <sortCondition ref="B1:B60"/>
  </sortState>
  <tableColumns count="20">
    <tableColumn id="1" xr3:uid="{D7FDAA82-12A4-4CF7-AFEC-501B8AAC3CCB}" name="Periodo " dataDxfId="89"/>
    <tableColumn id="21" xr3:uid="{0F5B02B8-C685-4F82-AC07-D4D01FC7635A}" name="Año" dataDxfId="88"/>
    <tableColumn id="2" xr3:uid="{587D561E-0165-42A0-B550-D0C6503477E7}" name=" Abbott Lab" dataDxfId="87"/>
    <tableColumn id="3" xr3:uid="{545878E6-8F97-438A-9255-58FD676A0948}" name=" Stryker" dataDxfId="86"/>
    <tableColumn id="4" xr3:uid="{7EFE8269-BE63-4653-B930-8C14B91952D2}" name=" Insulet" dataDxfId="85"/>
    <tableColumn id="5" xr3:uid="{262719F8-EFE5-4AE1-9F4C-7DD088E65902}" name=" Boston Scientific" dataDxfId="84"/>
    <tableColumn id="6" xr3:uid="{C9329301-96F1-42FE-9B70-A919DA33FF9C}" name=" Hologic" dataDxfId="83"/>
    <tableColumn id="7" xr3:uid="{17AEFEE7-2415-4846-981F-46DE3631B3DB}" name=" DexCom" dataDxfId="82"/>
    <tableColumn id="8" xr3:uid="{F8BA7142-3943-4FD2-BCAD-98A85B6A251A}" name=" Masimo" dataDxfId="81"/>
    <tableColumn id="9" xr3:uid="{83E16FCB-9882-4861-8ADC-2818D3234851}" name=" Baxter" dataDxfId="80"/>
    <tableColumn id="10" xr3:uid="{131AA67E-5C95-4B1F-AD68-EA525B2B54E0}" name=" Zimmer Biomet" dataDxfId="79"/>
    <tableColumn id="11" xr3:uid="{F4A57118-FA5F-4DCB-9E34-BCEDFCC108D0}" name=" ResMed" dataDxfId="78"/>
    <tableColumn id="12" xr3:uid="{586ABE04-871A-4A54-A069-B877298F6E9A}" name=" Bio-Rad Lab" dataDxfId="77"/>
    <tableColumn id="13" xr3:uid="{DD4107F8-4A66-43AC-AB8C-1D7A66D93B22}" name=" Thermo Fisher Scientific" dataDxfId="76"/>
    <tableColumn id="14" xr3:uid="{66425256-62CC-42C9-8750-E5FE70FC1CDD}" name=" Intuitive Surgical" dataDxfId="75"/>
    <tableColumn id="15" xr3:uid="{BA763977-1D13-42F9-BA1E-59F447DE4B5D}" name=" Edward Lifescience" dataDxfId="74"/>
    <tableColumn id="16" xr3:uid="{02ECEFB4-BDC7-4DE5-B3AD-DEF7EE7C1BAC}" name=" IDEXX Lab" dataDxfId="73"/>
    <tableColumn id="17" xr3:uid="{D7EB8BF8-0FD0-4400-9FEE-69FBAE00529D}" name=" Teleflex" dataDxfId="72"/>
    <tableColumn id="18" xr3:uid="{897ECFC6-4677-43C1-AB43-6E3FA03D852C}" name=" Varian Medical" dataDxfId="71"/>
    <tableColumn id="19" xr3:uid="{5769FAC7-3455-4F5C-90DE-11F888E64DF2}" name="Total US">
      <calculatedColumnFormula>SUM(C2:S2)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260425-056D-45C6-9DFD-A6EDA95498E3}" name="Tabla8" displayName="Tabla8" ref="B1:D60" totalsRowShown="0" tableBorderDxfId="70">
  <autoFilter ref="B1:D60" xr:uid="{57260425-056D-45C6-9DFD-A6EDA95498E3}"/>
  <tableColumns count="3">
    <tableColumn id="1" xr3:uid="{41085B61-F2AE-4188-8773-1A1A27E7F043}" name="Q -YEAR " dataDxfId="69"/>
    <tableColumn id="2" xr3:uid="{D4741DC7-A97F-47DF-9EEE-89AAAA5674B3}" name="Total US"/>
    <tableColumn id="4" xr3:uid="{191FF8AC-9587-462C-A4AA-BA56256B4B58}" name="Periodo 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1858A5C-13B7-4F0F-9A00-C481E5E8C863}" name="Tabla18" displayName="Tabla18" ref="A1:G60" totalsRowShown="0" headerRowBorderDxfId="68" tableBorderDxfId="67">
  <autoFilter ref="A1:G60" xr:uid="{31858A5C-13B7-4F0F-9A00-C481E5E8C863}"/>
  <tableColumns count="7">
    <tableColumn id="1" xr3:uid="{42D0D391-CCAD-4D3C-AA39-25460034A660}" name="Año" dataDxfId="66"/>
    <tableColumn id="2" xr3:uid="{EC06A32E-D040-4C05-94A2-EA19130A05F6}" name="Trimestre" dataDxfId="65">
      <calculatedColumnFormula>LEFT(Tabla4[[#This Row],[Periodo]],2)</calculatedColumnFormula>
    </tableColumn>
    <tableColumn id="3" xr3:uid="{BBA950A0-BAAC-4FB4-A622-DEA959E76F71}" name="Periodo t" dataDxfId="64"/>
    <tableColumn id="4" xr3:uid="{140AB1CF-6A65-4A11-9DAD-878073CC0DD2}" name="Demanda Dt" dataDxfId="63"/>
    <tableColumn id="5" xr3:uid="{58CE7273-CF59-4120-B25E-1CA47CEFA8BF}" name="demanda desestacionalizada" dataDxfId="62"/>
    <tableColumn id="6" xr3:uid="{2E2521DE-123E-4E97-9321-AA2651C3E400}" name="demanda desestacionalizada E.C 7.4" dataDxfId="61"/>
    <tableColumn id="7" xr3:uid="{24486444-5E1D-456A-A14F-124851586CD3}" name="factores_x000a_estacionales estimados E.C 7.5" dataDxfId="6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C852A3E-8D15-49F7-BBBF-CE28A0B8589B}" name="Tabla15" displayName="Tabla15" ref="A1:K60" totalsRowShown="0" headerRowDxfId="59" headerRowBorderDxfId="58" tableBorderDxfId="57">
  <autoFilter ref="A1:K60" xr:uid="{5C852A3E-8D15-49F7-BBBF-CE28A0B8589B}"/>
  <tableColumns count="11">
    <tableColumn id="1" xr3:uid="{D8F0CCBF-9533-4FEA-B43A-7EC506175A09}" name="Periodo t" dataDxfId="56"/>
    <tableColumn id="2" xr3:uid="{AF3799CE-D9BB-4C22-976B-1E8263EA2B07}" name="Demanda Dt" dataDxfId="55"/>
    <tableColumn id="3" xr3:uid="{15012706-B657-4B92-B989-FD606D428196}" name="demanda desestacionalizada"/>
    <tableColumn id="4" xr3:uid="{77CAF0D8-4BC8-4161-A540-86594FEE63BA}" name="Pronostico Ft" dataDxfId="54">
      <calculatedColumnFormula>C1</calculatedColumnFormula>
    </tableColumn>
    <tableColumn id="5" xr3:uid="{87915BDC-46F7-45AD-8B25-ADA56FA91CA2}" name="Error Et" dataDxfId="53">
      <calculatedColumnFormula>D1-B1</calculatedColumnFormula>
    </tableColumn>
    <tableColumn id="6" xr3:uid="{F7B5A352-7624-4614-A20B-DCD2FBBDE83B}" name="Error absoluto At" dataDxfId="52">
      <calculatedColumnFormula>ABS(E1)</calculatedColumnFormula>
    </tableColumn>
    <tableColumn id="7" xr3:uid="{1869758A-E798-4EAA-A3CD-F7F8D329C586}" name="Error cuadrático MSEt" dataDxfId="51">
      <calculatedColumnFormula>SUMSQ($E2:E$6)/(A2-4)</calculatedColumnFormula>
    </tableColumn>
    <tableColumn id="8" xr3:uid="{8E2B9E7D-2630-47A9-B5E2-3ABC5872C8FB}" name="MAD" dataDxfId="50">
      <calculatedColumnFormula>SUM($F2:F$6)/(A2-4)</calculatedColumnFormula>
    </tableColumn>
    <tableColumn id="9" xr3:uid="{22ED2B23-145A-4957-AAD4-DB0FD372A52D}" name="% Error" dataDxfId="49">
      <calculatedColumnFormula>100*(F2/B2)</calculatedColumnFormula>
    </tableColumn>
    <tableColumn id="10" xr3:uid="{CFB4DB2F-0A3F-41A2-8F4D-187B6D084E41}" name="MAPEt" dataDxfId="48">
      <calculatedColumnFormula>AVERAGE($I2:I$6)</calculatedColumnFormula>
    </tableColumn>
    <tableColumn id="11" xr3:uid="{A302B25E-F8E7-4A43-A2FE-714902D0F6A5}" name="TSt" dataDxfId="47">
      <calculatedColumnFormula>SUM($E2:E$6)/H2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596BD0D-3406-4DEE-915F-2A8515D25EB6}" name="Tabla16" displayName="Tabla16" ref="A1:K61" totalsRowShown="0" headerRowDxfId="46" headerRowBorderDxfId="45" tableBorderDxfId="44" totalsRowBorderDxfId="43">
  <autoFilter ref="A1:K61" xr:uid="{6596BD0D-3406-4DEE-915F-2A8515D25EB6}"/>
  <tableColumns count="11">
    <tableColumn id="1" xr3:uid="{954F0C2E-DE04-4242-9954-32C55A36035B}" name="Periodo t" dataDxfId="42"/>
    <tableColumn id="2" xr3:uid="{B46CE61F-BD24-4939-9A3B-FAEB259A1C6F}" name="Resultado Dt" dataDxfId="41"/>
    <tableColumn id="3" xr3:uid="{6F84DD14-BFC4-4FC9-B670-966DF6C8EF66}" name="Nivel      Lt" dataDxfId="40"/>
    <tableColumn id="4" xr3:uid="{502B2521-AD29-420D-820C-9064D1A87106}" name="Pronostico Ft" dataDxfId="39"/>
    <tableColumn id="5" xr3:uid="{07EAE161-79F8-4614-8EDE-4E4595AACBBB}" name="Error Et" dataDxfId="38"/>
    <tableColumn id="6" xr3:uid="{CA40E261-AB53-4E83-8ABA-9DC8868FC5C6}" name="Error absoluto At" dataDxfId="37"/>
    <tableColumn id="7" xr3:uid="{FB8229DD-5161-4ECB-B7D1-B83DB49A65F4}" name="Error cuadrático MSEt" dataDxfId="36"/>
    <tableColumn id="8" xr3:uid="{C1251F25-B249-4102-A48B-E122BF772275}" name="MAD" dataDxfId="35"/>
    <tableColumn id="9" xr3:uid="{360A0158-0208-41F8-90E0-A216D93C1E88}" name="% Error" dataDxfId="34"/>
    <tableColumn id="10" xr3:uid="{CDC86271-49E3-4115-8E2E-332D426A40EB}" name="MAPEt" dataDxfId="33"/>
    <tableColumn id="11" xr3:uid="{279033AE-3785-4CAD-8A76-39260AEF63D9}" name="TSt" dataDxfId="3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910AF6D-A53F-4CED-B796-91E2E5470CD9}" name="Tabla17" displayName="Tabla17" ref="A1:M60" totalsRowShown="0" headerRowDxfId="31">
  <autoFilter ref="A1:M60" xr:uid="{3910AF6D-A53F-4CED-B796-91E2E5470CD9}"/>
  <tableColumns count="13">
    <tableColumn id="1" xr3:uid="{CB77E7C8-43F8-4393-A60B-DAA9BDEFD685}" name="Periodo t" dataDxfId="30"/>
    <tableColumn id="2" xr3:uid="{56D5B61D-2E2E-4BAC-ACAB-087051186F7F}" name="Resultado Dt" dataDxfId="29"/>
    <tableColumn id="3" xr3:uid="{BBE7799B-B5E8-4008-B639-B35E6D5ADDB3}" name="Nivel      Lt"/>
    <tableColumn id="4" xr3:uid="{9B387B25-8C38-4C53-96E8-520A3CF14759}" name="Tt"/>
    <tableColumn id="5" xr3:uid="{A35227D3-77C5-43ED-B0BD-7F34889A4E51}" name="Pronostico Ft"/>
    <tableColumn id="6" xr3:uid="{A6D31E38-E493-4DF3-A804-36F76C2917C3}" name="Error Et"/>
    <tableColumn id="7" xr3:uid="{5CD3DD48-AE1F-449B-8106-1606555E3580}" name="Error absoluto At"/>
    <tableColumn id="8" xr3:uid="{86695C2A-3C3F-4213-A9AC-4077906E172A}" name="Error cuadrático MSEt"/>
    <tableColumn id="9" xr3:uid="{6966E52B-DB1B-413A-943F-989942E6098A}" name="MAD"/>
    <tableColumn id="10" xr3:uid="{5EA397F8-566A-4EC4-BC3A-C52B5BE2C778}" name="% Error"/>
    <tableColumn id="11" xr3:uid="{A3C3C950-5E65-48F9-9278-14A0B8AAE20B}" name="MAPEt"/>
    <tableColumn id="12" xr3:uid="{A7CFFBDA-737A-4057-ADF8-062218FE410D}" name="TSt"/>
    <tableColumn id="13" xr3:uid="{67494F3C-BEB4-452E-B7DE-E09A72A28D1F}" name="año" dataDxfId="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DE90D94-6714-4FC9-8939-29A6DDD6188B}" name="Tabla19" displayName="Tabla19" ref="A1:L60" totalsRowShown="0" headerRowDxfId="27" headerRowBorderDxfId="26" tableBorderDxfId="25">
  <autoFilter ref="A1:L60" xr:uid="{CDE90D94-6714-4FC9-8939-29A6DDD6188B}"/>
  <tableColumns count="12">
    <tableColumn id="1" xr3:uid="{154CDD88-678B-414B-B251-C8AD3A0648ED}" name="Periodo t" dataDxfId="24"/>
    <tableColumn id="2" xr3:uid="{C37152B7-45B6-43B8-B985-BBE099545A81}" name="Pt^2" dataDxfId="23">
      <calculatedColumnFormula>POWER(A2,2)</calculatedColumnFormula>
    </tableColumn>
    <tableColumn id="3" xr3:uid="{952E0CCD-D3E4-4076-9779-019BBE754239}" name="Demanda Dt" dataDxfId="22"/>
    <tableColumn id="4" xr3:uid="{25341291-C8EE-4D73-A8F5-98F7FF8B2D64}" name="Y hat" dataDxfId="21">
      <calculatedColumnFormula>($P$4*POWER(A2,2))+($P$3*A2)+$P$2</calculatedColumnFormula>
    </tableColumn>
    <tableColumn id="5" xr3:uid="{15C6B6C0-BC38-4E6E-980A-1021FB073345}" name="Error Et">
      <calculatedColumnFormula>D2-C2</calculatedColumnFormula>
    </tableColumn>
    <tableColumn id="6" xr3:uid="{C65ED5F5-6FA5-4FBA-B09C-EB6F752226BC}" name="Error absoluto At"/>
    <tableColumn id="7" xr3:uid="{670BEF4A-156D-4DE6-9991-58FDCFA4B384}" name="Error cuadrático MSEt">
      <calculatedColumnFormula>SUMSQ($F2:F2)/A2</calculatedColumnFormula>
    </tableColumn>
    <tableColumn id="8" xr3:uid="{3674F9C1-D525-45A7-849B-C98DCCA20F76}" name="MAD">
      <calculatedColumnFormula>SUM($F2:F2)/A2</calculatedColumnFormula>
    </tableColumn>
    <tableColumn id="9" xr3:uid="{AE2F93C7-8B3F-43B9-9DE8-01CC2630A6D7}" name="% Error">
      <calculatedColumnFormula>(F2/C2)*100</calculatedColumnFormula>
    </tableColumn>
    <tableColumn id="10" xr3:uid="{6AA53A76-A74E-40BA-BE7C-0892F35D0E01}" name="MAPEt" dataDxfId="20">
      <calculatedColumnFormula>AVERAGE($I$2:I2)</calculatedColumnFormula>
    </tableColumn>
    <tableColumn id="11" xr3:uid="{B43ECE25-D3CC-49D8-ABEC-7C7AD98D4199}" name="TSt" dataDxfId="19">
      <calculatedColumnFormula>SUM($E$2:E2)/H2</calculatedColumnFormula>
    </tableColumn>
    <tableColumn id="12" xr3:uid="{1BECC844-7AA9-486F-B746-50B6E5B40E2F}" name="año" dataDxfId="18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1D3B929-F5FD-48B7-8AC6-CBDD64AEEF2F}" name="Tabla20" displayName="Tabla20" ref="A1:M60" totalsRowShown="0" headerRowDxfId="17" dataDxfId="15" headerRowBorderDxfId="16" tableBorderDxfId="14">
  <autoFilter ref="A1:M60" xr:uid="{41D3B929-F5FD-48B7-8AC6-CBDD64AEEF2F}"/>
  <tableColumns count="13">
    <tableColumn id="1" xr3:uid="{3A570636-0D02-4C36-808D-B778B984B0E5}" name="Periodo t" dataDxfId="13"/>
    <tableColumn id="2" xr3:uid="{0D473735-385B-4F32-BBBC-74E9481EE523}" name="Pt^2" dataDxfId="12">
      <calculatedColumnFormula>POWER(A2,2)</calculatedColumnFormula>
    </tableColumn>
    <tableColumn id="3" xr3:uid="{84656510-FA85-4522-B733-9CA081AA5E99}" name="Pt^3" dataDxfId="11">
      <calculatedColumnFormula>POWER(A2,3)</calculatedColumnFormula>
    </tableColumn>
    <tableColumn id="4" xr3:uid="{BC51851F-AC5F-4413-B447-073C56498543}" name="Demanda Dt" dataDxfId="10"/>
    <tableColumn id="5" xr3:uid="{EA22E33A-9172-4E92-A7A2-F33E3217B2F9}" name="Y hat" dataDxfId="9">
      <calculatedColumnFormula>($P$5*POWER(A2,3))+($P$4*POWER(A2,2))+($P$3*A2)+$P$2</calculatedColumnFormula>
    </tableColumn>
    <tableColumn id="6" xr3:uid="{059E73FB-AB43-4AA0-B54B-5CEB44D7294E}" name="Error Et" dataDxfId="8">
      <calculatedColumnFormula>E2-D2</calculatedColumnFormula>
    </tableColumn>
    <tableColumn id="7" xr3:uid="{BFB30C7A-D45D-418F-959C-7D1AF8C96FD9}" name="Error absoluto At" dataDxfId="7">
      <calculatedColumnFormula>ABS(F2)</calculatedColumnFormula>
    </tableColumn>
    <tableColumn id="8" xr3:uid="{37EABF16-AF76-49CB-81A3-85F60E7A0601}" name="Error cuadrático MSEt" dataDxfId="6">
      <calculatedColumnFormula>SUMSQ($G2:G2)/A2</calculatedColumnFormula>
    </tableColumn>
    <tableColumn id="9" xr3:uid="{8EC60EF6-0774-44A3-A435-7F138D603527}" name="MAD" dataDxfId="5">
      <calculatedColumnFormula>SUM($G$2:G2)/A2</calculatedColumnFormula>
    </tableColumn>
    <tableColumn id="10" xr3:uid="{55F12E68-A609-45C0-A9BE-49E8D9E2C855}" name="% Error" dataDxfId="4">
      <calculatedColumnFormula>(G2/D2)*100</calculatedColumnFormula>
    </tableColumn>
    <tableColumn id="11" xr3:uid="{A9F4FCCB-C77F-42C8-9774-44BC0593A2B8}" name="MAPEt" dataDxfId="3">
      <calculatedColumnFormula>AVERAGE($J$2:J2)</calculatedColumnFormula>
    </tableColumn>
    <tableColumn id="12" xr3:uid="{EC86DA4A-5DAE-4D6E-90EA-00C3D73E7939}" name="TSt" dataDxfId="2">
      <calculatedColumnFormula>SUM($F2:F2)/I2</calculatedColumnFormula>
    </tableColumn>
    <tableColumn id="13" xr3:uid="{0D00F39B-C799-4ECE-B9AA-405E3A86E7D4}" name="año" dataDxfId="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A9B4B8-3010-4617-AFF0-8DA87FEC91F2}" name="Tabla14" displayName="Tabla14" ref="A1:E16" totalsRowShown="0">
  <autoFilter ref="A1:E16" xr:uid="{87A9B4B8-3010-4617-AFF0-8DA87FEC91F2}"/>
  <tableColumns count="5">
    <tableColumn id="1" xr3:uid="{71089F79-B47B-4A8C-9AA4-E76DD3DA2201}" name="Año" dataDxfId="0"/>
    <tableColumn id="2" xr3:uid="{00B7BA3C-B616-42C3-B99E-B3E549242B12}" name="Q1"/>
    <tableColumn id="3" xr3:uid="{5A4498DC-ABFA-4E50-A361-2F8FB8E1D536}" name="Q2"/>
    <tableColumn id="4" xr3:uid="{2789E40A-7118-4183-B1F3-4C23B0C660D0}" name="Q3"/>
    <tableColumn id="5" xr3:uid="{390D8C15-A3C6-44FF-A598-4ABCF1EA19D4}" name="Q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mathurinache/medicaldevicecompani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ogo.clearbit.com/medtroni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drawing" Target="../drawings/drawing9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drawing" Target="../drawings/drawing10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09E9-2A28-496B-90C7-02C20041E4FA}">
  <dimension ref="A1:A2"/>
  <sheetViews>
    <sheetView workbookViewId="0">
      <selection activeCell="G16" sqref="G16"/>
    </sheetView>
  </sheetViews>
  <sheetFormatPr baseColWidth="10" defaultRowHeight="14.5" x14ac:dyDescent="0.35"/>
  <sheetData>
    <row r="1" spans="1:1" x14ac:dyDescent="0.35">
      <c r="A1" s="128" t="s">
        <v>620</v>
      </c>
    </row>
    <row r="2" spans="1:1" x14ac:dyDescent="0.35">
      <c r="A2" t="s">
        <v>621</v>
      </c>
    </row>
  </sheetData>
  <hyperlinks>
    <hyperlink ref="A1" r:id="rId1" xr:uid="{1B043E8A-0233-4EE5-9CE4-1EE2D87B88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741B-4B5F-4611-86C5-CF8218C5CE28}">
  <dimension ref="A1:BJ22"/>
  <sheetViews>
    <sheetView tabSelected="1" topLeftCell="A4" workbookViewId="0">
      <selection activeCell="D27" sqref="D27"/>
    </sheetView>
  </sheetViews>
  <sheetFormatPr baseColWidth="10" defaultRowHeight="14.5" x14ac:dyDescent="0.35"/>
  <sheetData>
    <row r="1" spans="1:6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</row>
    <row r="2" spans="1:62" x14ac:dyDescent="0.35">
      <c r="A2" s="2" t="s">
        <v>62</v>
      </c>
      <c r="B2" s="2" t="s">
        <v>63</v>
      </c>
      <c r="C2" s="2" t="s">
        <v>64</v>
      </c>
      <c r="D2" s="2" t="s">
        <v>704</v>
      </c>
      <c r="E2" s="2" t="s">
        <v>709</v>
      </c>
      <c r="F2" s="2" t="s">
        <v>714</v>
      </c>
      <c r="G2" s="2" t="s">
        <v>719</v>
      </c>
      <c r="H2" s="2" t="s">
        <v>724</v>
      </c>
      <c r="I2" s="2" t="s">
        <v>729</v>
      </c>
      <c r="J2" s="2" t="s">
        <v>734</v>
      </c>
      <c r="K2" s="2" t="s">
        <v>739</v>
      </c>
      <c r="L2" s="2" t="s">
        <v>745</v>
      </c>
      <c r="M2" s="2" t="s">
        <v>751</v>
      </c>
      <c r="N2" s="2" t="s">
        <v>757</v>
      </c>
      <c r="O2" s="2" t="s">
        <v>763</v>
      </c>
      <c r="P2" s="2" t="s">
        <v>770</v>
      </c>
      <c r="Q2" s="2" t="s">
        <v>777</v>
      </c>
      <c r="R2" s="2" t="s">
        <v>785</v>
      </c>
      <c r="S2" s="2" t="s">
        <v>791</v>
      </c>
      <c r="T2" s="2" t="s">
        <v>798</v>
      </c>
      <c r="U2" s="2" t="s">
        <v>804</v>
      </c>
      <c r="V2" s="2" t="s">
        <v>810</v>
      </c>
      <c r="W2" s="2" t="s">
        <v>814</v>
      </c>
      <c r="X2" s="2" t="s">
        <v>822</v>
      </c>
      <c r="Y2" s="2" t="s">
        <v>829</v>
      </c>
      <c r="Z2" s="2" t="s">
        <v>836</v>
      </c>
      <c r="AA2" s="2" t="s">
        <v>842</v>
      </c>
      <c r="AB2" s="2" t="s">
        <v>849</v>
      </c>
      <c r="AC2" s="2" t="s">
        <v>857</v>
      </c>
      <c r="AD2" s="2" t="s">
        <v>863</v>
      </c>
      <c r="AE2" s="2" t="s">
        <v>870</v>
      </c>
      <c r="AF2" s="2" t="s">
        <v>878</v>
      </c>
      <c r="AG2" s="2" t="s">
        <v>886</v>
      </c>
      <c r="AH2" s="2" t="s">
        <v>894</v>
      </c>
      <c r="AI2" s="2" t="s">
        <v>901</v>
      </c>
      <c r="AJ2" s="2" t="s">
        <v>906</v>
      </c>
      <c r="AK2" s="2" t="s">
        <v>914</v>
      </c>
      <c r="AL2" s="2" t="s">
        <v>921</v>
      </c>
      <c r="AM2" s="2" t="s">
        <v>667</v>
      </c>
      <c r="AN2" s="2" t="s">
        <v>933</v>
      </c>
      <c r="AO2" s="2" t="s">
        <v>941</v>
      </c>
      <c r="AP2" s="2" t="s">
        <v>948</v>
      </c>
      <c r="AQ2" s="2" t="s">
        <v>955</v>
      </c>
      <c r="AR2" s="2" t="s">
        <v>963</v>
      </c>
      <c r="AS2" s="2" t="s">
        <v>969</v>
      </c>
      <c r="AT2" s="2" t="s">
        <v>976</v>
      </c>
      <c r="AU2" s="2" t="s">
        <v>983</v>
      </c>
      <c r="AV2" s="2" t="s">
        <v>989</v>
      </c>
      <c r="AW2" s="2" t="s">
        <v>996</v>
      </c>
      <c r="AX2" s="2" t="s">
        <v>1002</v>
      </c>
      <c r="AY2" s="2" t="s">
        <v>996</v>
      </c>
      <c r="AZ2" s="2" t="s">
        <v>1015</v>
      </c>
      <c r="BA2" s="2" t="s">
        <v>1021</v>
      </c>
      <c r="BB2" s="2" t="s">
        <v>1028</v>
      </c>
      <c r="BC2" s="2" t="s">
        <v>1035</v>
      </c>
      <c r="BD2" s="2" t="s">
        <v>687</v>
      </c>
      <c r="BE2" s="2" t="s">
        <v>1045</v>
      </c>
      <c r="BF2" s="2" t="s">
        <v>1052</v>
      </c>
      <c r="BG2" s="2" t="s">
        <v>1058</v>
      </c>
      <c r="BH2" s="2" t="s">
        <v>1065</v>
      </c>
      <c r="BI2" s="2" t="s">
        <v>1072</v>
      </c>
      <c r="BJ2" s="2" t="s">
        <v>1080</v>
      </c>
    </row>
    <row r="3" spans="1:62" x14ac:dyDescent="0.35">
      <c r="A3" s="1" t="s">
        <v>65</v>
      </c>
      <c r="B3" s="1" t="s">
        <v>66</v>
      </c>
      <c r="C3" s="5" t="s">
        <v>67</v>
      </c>
      <c r="D3" s="1" t="s">
        <v>637</v>
      </c>
      <c r="E3" s="1" t="s">
        <v>638</v>
      </c>
      <c r="F3" s="1" t="s">
        <v>639</v>
      </c>
      <c r="G3" s="1" t="s">
        <v>640</v>
      </c>
      <c r="H3" s="1" t="s">
        <v>641</v>
      </c>
      <c r="I3" s="1" t="s">
        <v>642</v>
      </c>
      <c r="J3" s="1" t="s">
        <v>643</v>
      </c>
      <c r="K3" s="1" t="s">
        <v>644</v>
      </c>
      <c r="L3" s="1" t="s">
        <v>645</v>
      </c>
      <c r="M3" s="1" t="s">
        <v>646</v>
      </c>
      <c r="N3" s="1" t="s">
        <v>647</v>
      </c>
      <c r="O3" s="1" t="s">
        <v>648</v>
      </c>
      <c r="P3" s="1" t="s">
        <v>649</v>
      </c>
      <c r="Q3" s="1" t="s">
        <v>650</v>
      </c>
      <c r="R3" s="1" t="s">
        <v>651</v>
      </c>
      <c r="S3" s="1" t="s">
        <v>652</v>
      </c>
      <c r="T3" s="1" t="s">
        <v>653</v>
      </c>
      <c r="U3" s="1" t="s">
        <v>654</v>
      </c>
      <c r="V3" s="1" t="s">
        <v>655</v>
      </c>
      <c r="W3" s="1" t="s">
        <v>656</v>
      </c>
      <c r="X3" s="1" t="s">
        <v>657</v>
      </c>
      <c r="Y3" s="1" t="s">
        <v>658</v>
      </c>
      <c r="Z3" s="1" t="s">
        <v>659</v>
      </c>
      <c r="AA3" s="1" t="s">
        <v>660</v>
      </c>
      <c r="AB3" s="1" t="s">
        <v>661</v>
      </c>
      <c r="AC3" s="1" t="s">
        <v>662</v>
      </c>
      <c r="AD3" s="1" t="s">
        <v>663</v>
      </c>
      <c r="AE3" s="1" t="s">
        <v>664</v>
      </c>
      <c r="AF3" s="1" t="s">
        <v>665</v>
      </c>
      <c r="AG3" s="1" t="s">
        <v>666</v>
      </c>
      <c r="AH3" s="1" t="s">
        <v>667</v>
      </c>
      <c r="AI3" s="1" t="s">
        <v>668</v>
      </c>
      <c r="AJ3" s="1" t="s">
        <v>669</v>
      </c>
      <c r="AK3" s="1" t="s">
        <v>670</v>
      </c>
      <c r="AL3" s="1" t="s">
        <v>671</v>
      </c>
      <c r="AM3" s="1" t="s">
        <v>672</v>
      </c>
      <c r="AN3" s="1" t="s">
        <v>673</v>
      </c>
      <c r="AO3" s="1" t="s">
        <v>674</v>
      </c>
      <c r="AP3" s="1" t="s">
        <v>675</v>
      </c>
      <c r="AQ3" s="1" t="s">
        <v>676</v>
      </c>
      <c r="AR3" s="1" t="s">
        <v>677</v>
      </c>
      <c r="AS3" s="1" t="s">
        <v>678</v>
      </c>
      <c r="AT3" s="1" t="s">
        <v>679</v>
      </c>
      <c r="AU3" s="1" t="s">
        <v>680</v>
      </c>
      <c r="AV3" s="1" t="s">
        <v>681</v>
      </c>
      <c r="AW3" s="1" t="s">
        <v>682</v>
      </c>
      <c r="AX3" s="1" t="s">
        <v>683</v>
      </c>
      <c r="AY3" s="1" t="s">
        <v>684</v>
      </c>
      <c r="AZ3" s="1" t="s">
        <v>685</v>
      </c>
      <c r="BA3" s="1" t="s">
        <v>686</v>
      </c>
      <c r="BB3" s="1" t="s">
        <v>687</v>
      </c>
      <c r="BC3" s="1" t="s">
        <v>688</v>
      </c>
      <c r="BD3" s="1" t="s">
        <v>689</v>
      </c>
      <c r="BE3" s="1" t="s">
        <v>690</v>
      </c>
      <c r="BF3" s="1" t="s">
        <v>691</v>
      </c>
      <c r="BG3" s="1" t="s">
        <v>692</v>
      </c>
      <c r="BH3" s="1" t="s">
        <v>693</v>
      </c>
      <c r="BI3" s="1" t="s">
        <v>694</v>
      </c>
      <c r="BJ3" s="1" t="s">
        <v>695</v>
      </c>
    </row>
    <row r="4" spans="1:62" x14ac:dyDescent="0.35">
      <c r="A4" s="2" t="s">
        <v>68</v>
      </c>
      <c r="B4" s="2" t="s">
        <v>63</v>
      </c>
      <c r="C4" s="2" t="s">
        <v>69</v>
      </c>
      <c r="D4" s="2" t="s">
        <v>705</v>
      </c>
      <c r="E4" s="2" t="s">
        <v>710</v>
      </c>
      <c r="F4" s="2" t="s">
        <v>715</v>
      </c>
      <c r="G4" s="2" t="s">
        <v>720</v>
      </c>
      <c r="H4" s="2" t="s">
        <v>725</v>
      </c>
      <c r="I4" s="2" t="s">
        <v>730</v>
      </c>
      <c r="J4" s="2" t="s">
        <v>735</v>
      </c>
      <c r="K4" s="2" t="s">
        <v>740</v>
      </c>
      <c r="L4" s="2" t="s">
        <v>746</v>
      </c>
      <c r="M4" s="2" t="s">
        <v>752</v>
      </c>
      <c r="N4" s="2" t="s">
        <v>758</v>
      </c>
      <c r="O4" s="2" t="s">
        <v>764</v>
      </c>
      <c r="P4" s="2" t="s">
        <v>771</v>
      </c>
      <c r="Q4" s="2" t="s">
        <v>778</v>
      </c>
      <c r="R4" s="2" t="s">
        <v>786</v>
      </c>
      <c r="S4" s="2" t="s">
        <v>792</v>
      </c>
      <c r="T4" s="2" t="s">
        <v>799</v>
      </c>
      <c r="U4" s="2" t="s">
        <v>771</v>
      </c>
      <c r="V4" s="2" t="s">
        <v>786</v>
      </c>
      <c r="W4" s="2" t="s">
        <v>815</v>
      </c>
      <c r="X4" s="2" t="s">
        <v>823</v>
      </c>
      <c r="Y4" s="2" t="s">
        <v>830</v>
      </c>
      <c r="Z4" s="2" t="s">
        <v>837</v>
      </c>
      <c r="AA4" s="2" t="s">
        <v>843</v>
      </c>
      <c r="AB4" s="2" t="s">
        <v>850</v>
      </c>
      <c r="AC4" s="2" t="s">
        <v>772</v>
      </c>
      <c r="AD4" s="2" t="s">
        <v>864</v>
      </c>
      <c r="AE4" s="2" t="s">
        <v>871</v>
      </c>
      <c r="AF4" s="2" t="s">
        <v>879</v>
      </c>
      <c r="AG4" s="2" t="s">
        <v>887</v>
      </c>
      <c r="AH4" s="2" t="s">
        <v>895</v>
      </c>
      <c r="AI4" s="2" t="s">
        <v>749</v>
      </c>
      <c r="AJ4" s="2" t="s">
        <v>907</v>
      </c>
      <c r="AK4" s="2" t="s">
        <v>915</v>
      </c>
      <c r="AL4" s="2" t="s">
        <v>922</v>
      </c>
      <c r="AM4" s="2" t="s">
        <v>926</v>
      </c>
      <c r="AN4" s="2" t="s">
        <v>934</v>
      </c>
      <c r="AO4" s="2" t="s">
        <v>942</v>
      </c>
      <c r="AP4" s="2" t="s">
        <v>949</v>
      </c>
      <c r="AQ4" s="2" t="s">
        <v>956</v>
      </c>
      <c r="AR4" s="2" t="s">
        <v>964</v>
      </c>
      <c r="AS4" s="2" t="s">
        <v>970</v>
      </c>
      <c r="AT4" s="2" t="s">
        <v>977</v>
      </c>
      <c r="AU4" s="2" t="s">
        <v>984</v>
      </c>
      <c r="AV4" s="2" t="s">
        <v>990</v>
      </c>
      <c r="AW4" s="2" t="s">
        <v>997</v>
      </c>
      <c r="AX4" s="2" t="s">
        <v>1003</v>
      </c>
      <c r="AY4" s="2" t="s">
        <v>1009</v>
      </c>
      <c r="AZ4" s="2" t="s">
        <v>1016</v>
      </c>
      <c r="BA4" s="2" t="s">
        <v>1022</v>
      </c>
      <c r="BB4" s="2" t="s">
        <v>1029</v>
      </c>
      <c r="BC4" s="2" t="s">
        <v>1036</v>
      </c>
      <c r="BD4" s="2" t="s">
        <v>1040</v>
      </c>
      <c r="BE4" s="2" t="s">
        <v>1046</v>
      </c>
      <c r="BF4" s="2" t="s">
        <v>869</v>
      </c>
      <c r="BG4" s="2" t="s">
        <v>1059</v>
      </c>
      <c r="BH4" s="2" t="s">
        <v>1066</v>
      </c>
      <c r="BI4" s="2" t="s">
        <v>1073</v>
      </c>
      <c r="BJ4" s="2" t="s">
        <v>1081</v>
      </c>
    </row>
    <row r="5" spans="1:62" x14ac:dyDescent="0.35">
      <c r="A5" s="1" t="s">
        <v>70</v>
      </c>
      <c r="B5" s="1" t="s">
        <v>63</v>
      </c>
      <c r="C5" s="1" t="s">
        <v>71</v>
      </c>
      <c r="D5" s="1" t="s">
        <v>706</v>
      </c>
      <c r="E5" s="1" t="s">
        <v>711</v>
      </c>
      <c r="F5" s="1" t="s">
        <v>716</v>
      </c>
      <c r="G5" s="1" t="s">
        <v>721</v>
      </c>
      <c r="H5" s="1" t="s">
        <v>726</v>
      </c>
      <c r="I5" s="1" t="s">
        <v>731</v>
      </c>
      <c r="J5" s="1" t="s">
        <v>736</v>
      </c>
      <c r="K5" s="1" t="s">
        <v>741</v>
      </c>
      <c r="L5" s="1" t="s">
        <v>747</v>
      </c>
      <c r="M5" s="1" t="s">
        <v>753</v>
      </c>
      <c r="N5" s="1" t="s">
        <v>759</v>
      </c>
      <c r="O5" s="1" t="s">
        <v>765</v>
      </c>
      <c r="P5" s="1" t="s">
        <v>772</v>
      </c>
      <c r="Q5" s="1" t="s">
        <v>779</v>
      </c>
      <c r="R5" s="1" t="s">
        <v>787</v>
      </c>
      <c r="S5" s="1" t="s">
        <v>793</v>
      </c>
      <c r="T5" s="1" t="s">
        <v>800</v>
      </c>
      <c r="U5" s="1" t="s">
        <v>805</v>
      </c>
      <c r="V5" s="1" t="s">
        <v>811</v>
      </c>
      <c r="W5" s="1" t="s">
        <v>816</v>
      </c>
      <c r="X5" s="1" t="s">
        <v>824</v>
      </c>
      <c r="Y5" s="1" t="s">
        <v>831</v>
      </c>
      <c r="Z5" s="1" t="s">
        <v>838</v>
      </c>
      <c r="AA5" s="1" t="s">
        <v>793</v>
      </c>
      <c r="AB5" s="1" t="s">
        <v>851</v>
      </c>
      <c r="AC5" s="1" t="s">
        <v>858</v>
      </c>
      <c r="AD5" s="1" t="s">
        <v>865</v>
      </c>
      <c r="AE5" s="1" t="s">
        <v>872</v>
      </c>
      <c r="AF5" s="1" t="s">
        <v>880</v>
      </c>
      <c r="AG5" s="1" t="s">
        <v>888</v>
      </c>
      <c r="AH5" s="1" t="s">
        <v>896</v>
      </c>
      <c r="AI5" s="1" t="s">
        <v>902</v>
      </c>
      <c r="AJ5" s="1" t="s">
        <v>908</v>
      </c>
      <c r="AK5" s="1" t="s">
        <v>916</v>
      </c>
      <c r="AL5" s="1" t="s">
        <v>896</v>
      </c>
      <c r="AM5" s="1" t="s">
        <v>927</v>
      </c>
      <c r="AN5" s="1" t="s">
        <v>935</v>
      </c>
      <c r="AO5" s="1" t="s">
        <v>943</v>
      </c>
      <c r="AP5" s="1" t="s">
        <v>950</v>
      </c>
      <c r="AQ5" s="1" t="s">
        <v>957</v>
      </c>
      <c r="AR5" s="1" t="s">
        <v>837</v>
      </c>
      <c r="AS5" s="1" t="s">
        <v>971</v>
      </c>
      <c r="AT5" s="1" t="s">
        <v>978</v>
      </c>
      <c r="AU5" s="1" t="s">
        <v>787</v>
      </c>
      <c r="AV5" s="1" t="s">
        <v>991</v>
      </c>
      <c r="AW5" s="1" t="s">
        <v>998</v>
      </c>
      <c r="AX5" s="1" t="s">
        <v>1004</v>
      </c>
      <c r="AY5" s="1" t="s">
        <v>1010</v>
      </c>
      <c r="AZ5" s="1" t="s">
        <v>1017</v>
      </c>
      <c r="BA5" s="1" t="s">
        <v>1023</v>
      </c>
      <c r="BB5" s="1" t="s">
        <v>1030</v>
      </c>
      <c r="BC5" s="1" t="s">
        <v>727</v>
      </c>
      <c r="BD5" s="1" t="s">
        <v>964</v>
      </c>
      <c r="BE5" s="1" t="s">
        <v>1047</v>
      </c>
      <c r="BF5" s="1" t="s">
        <v>1053</v>
      </c>
      <c r="BG5" s="1" t="s">
        <v>1060</v>
      </c>
      <c r="BH5" s="1" t="s">
        <v>1067</v>
      </c>
      <c r="BI5" s="1" t="s">
        <v>1074</v>
      </c>
      <c r="BJ5" s="1" t="s">
        <v>1031</v>
      </c>
    </row>
    <row r="6" spans="1:62" x14ac:dyDescent="0.35">
      <c r="A6" s="2" t="s">
        <v>72</v>
      </c>
      <c r="B6" s="2" t="s">
        <v>63</v>
      </c>
      <c r="C6" s="2" t="s">
        <v>73</v>
      </c>
      <c r="D6" s="2" t="s">
        <v>707</v>
      </c>
      <c r="E6" s="2" t="s">
        <v>712</v>
      </c>
      <c r="F6" s="2" t="s">
        <v>717</v>
      </c>
      <c r="G6" s="2" t="s">
        <v>722</v>
      </c>
      <c r="H6" s="2" t="s">
        <v>727</v>
      </c>
      <c r="I6" s="2" t="s">
        <v>732</v>
      </c>
      <c r="J6" s="2" t="s">
        <v>737</v>
      </c>
      <c r="K6" s="2" t="s">
        <v>742</v>
      </c>
      <c r="L6" s="2" t="s">
        <v>748</v>
      </c>
      <c r="M6" s="2" t="s">
        <v>754</v>
      </c>
      <c r="N6" s="2" t="s">
        <v>760</v>
      </c>
      <c r="O6" s="2" t="s">
        <v>766</v>
      </c>
      <c r="P6" s="2" t="s">
        <v>773</v>
      </c>
      <c r="Q6" s="2" t="s">
        <v>780</v>
      </c>
      <c r="R6" s="2" t="s">
        <v>788</v>
      </c>
      <c r="S6" s="2" t="s">
        <v>794</v>
      </c>
      <c r="T6" s="2" t="s">
        <v>801</v>
      </c>
      <c r="U6" s="2" t="s">
        <v>806</v>
      </c>
      <c r="V6" s="2" t="s">
        <v>812</v>
      </c>
      <c r="W6" s="2" t="s">
        <v>817</v>
      </c>
      <c r="X6" s="2" t="s">
        <v>825</v>
      </c>
      <c r="Y6" s="2" t="s">
        <v>832</v>
      </c>
      <c r="Z6" s="2" t="s">
        <v>839</v>
      </c>
      <c r="AA6" s="2" t="s">
        <v>844</v>
      </c>
      <c r="AB6" s="2" t="s">
        <v>852</v>
      </c>
      <c r="AC6" s="2" t="s">
        <v>859</v>
      </c>
      <c r="AD6" s="2" t="s">
        <v>866</v>
      </c>
      <c r="AE6" s="2" t="s">
        <v>873</v>
      </c>
      <c r="AF6" s="2" t="s">
        <v>881</v>
      </c>
      <c r="AG6" s="2" t="s">
        <v>889</v>
      </c>
      <c r="AH6" s="2" t="s">
        <v>897</v>
      </c>
      <c r="AI6" s="2" t="s">
        <v>903</v>
      </c>
      <c r="AJ6" s="2" t="s">
        <v>909</v>
      </c>
      <c r="AK6" s="2" t="s">
        <v>917</v>
      </c>
      <c r="AL6" s="2" t="s">
        <v>923</v>
      </c>
      <c r="AM6" s="2" t="s">
        <v>928</v>
      </c>
      <c r="AN6" s="2" t="s">
        <v>936</v>
      </c>
      <c r="AO6" s="2" t="s">
        <v>944</v>
      </c>
      <c r="AP6" s="2" t="s">
        <v>951</v>
      </c>
      <c r="AQ6" s="2" t="s">
        <v>958</v>
      </c>
      <c r="AR6" s="2" t="s">
        <v>965</v>
      </c>
      <c r="AS6" s="2" t="s">
        <v>972</v>
      </c>
      <c r="AT6" s="2" t="s">
        <v>979</v>
      </c>
      <c r="AU6" s="2" t="s">
        <v>985</v>
      </c>
      <c r="AV6" s="2" t="s">
        <v>992</v>
      </c>
      <c r="AW6" s="2" t="s">
        <v>999</v>
      </c>
      <c r="AX6" s="2" t="s">
        <v>1005</v>
      </c>
      <c r="AY6" s="2" t="s">
        <v>1011</v>
      </c>
      <c r="AZ6" s="2" t="s">
        <v>972</v>
      </c>
      <c r="BA6" s="2" t="s">
        <v>1024</v>
      </c>
      <c r="BB6" s="2" t="s">
        <v>1031</v>
      </c>
      <c r="BC6" s="2" t="s">
        <v>1037</v>
      </c>
      <c r="BD6" s="2" t="s">
        <v>1041</v>
      </c>
      <c r="BE6" s="2" t="s">
        <v>1048</v>
      </c>
      <c r="BF6" s="2" t="s">
        <v>1054</v>
      </c>
      <c r="BG6" s="2" t="s">
        <v>1061</v>
      </c>
      <c r="BH6" s="2" t="s">
        <v>1068</v>
      </c>
      <c r="BI6" s="2" t="s">
        <v>997</v>
      </c>
      <c r="BJ6" s="2" t="s">
        <v>1082</v>
      </c>
    </row>
    <row r="7" spans="1:62" x14ac:dyDescent="0.35">
      <c r="A7" s="1" t="s">
        <v>74</v>
      </c>
      <c r="B7" s="1" t="s">
        <v>63</v>
      </c>
      <c r="C7" s="1" t="s">
        <v>75</v>
      </c>
      <c r="D7" s="1" t="s">
        <v>76</v>
      </c>
      <c r="E7" s="1" t="s">
        <v>77</v>
      </c>
      <c r="F7" s="1" t="s">
        <v>78</v>
      </c>
      <c r="G7" s="1" t="s">
        <v>79</v>
      </c>
      <c r="H7" s="1" t="s">
        <v>80</v>
      </c>
      <c r="I7" s="1" t="s">
        <v>81</v>
      </c>
      <c r="J7" s="1" t="s">
        <v>82</v>
      </c>
      <c r="K7" s="1" t="s">
        <v>83</v>
      </c>
      <c r="L7" s="1" t="s">
        <v>84</v>
      </c>
      <c r="M7" s="1" t="s">
        <v>85</v>
      </c>
      <c r="N7" s="1" t="s">
        <v>86</v>
      </c>
      <c r="O7" s="1" t="s">
        <v>767</v>
      </c>
      <c r="P7" s="1" t="s">
        <v>774</v>
      </c>
      <c r="Q7" s="1" t="s">
        <v>781</v>
      </c>
      <c r="R7" s="1" t="s">
        <v>87</v>
      </c>
      <c r="S7" s="1" t="s">
        <v>795</v>
      </c>
      <c r="T7" s="1" t="s">
        <v>88</v>
      </c>
      <c r="U7" s="1" t="s">
        <v>807</v>
      </c>
      <c r="V7" s="1" t="s">
        <v>89</v>
      </c>
      <c r="W7" s="1" t="s">
        <v>818</v>
      </c>
      <c r="X7" s="1" t="s">
        <v>826</v>
      </c>
      <c r="Y7" s="1" t="s">
        <v>833</v>
      </c>
      <c r="Z7" s="1" t="s">
        <v>90</v>
      </c>
      <c r="AA7" s="1" t="s">
        <v>845</v>
      </c>
      <c r="AB7" s="1" t="s">
        <v>853</v>
      </c>
      <c r="AC7" s="1" t="s">
        <v>860</v>
      </c>
      <c r="AD7" s="1" t="s">
        <v>867</v>
      </c>
      <c r="AE7" s="1" t="s">
        <v>874</v>
      </c>
      <c r="AF7" s="1" t="s">
        <v>882</v>
      </c>
      <c r="AG7" s="1" t="s">
        <v>890</v>
      </c>
      <c r="AH7" s="1" t="s">
        <v>898</v>
      </c>
      <c r="AI7" s="1" t="s">
        <v>904</v>
      </c>
      <c r="AJ7" s="1" t="s">
        <v>910</v>
      </c>
      <c r="AK7" s="1" t="s">
        <v>918</v>
      </c>
      <c r="AL7" s="1" t="s">
        <v>767</v>
      </c>
      <c r="AM7" s="1" t="s">
        <v>929</v>
      </c>
      <c r="AN7" s="1" t="s">
        <v>937</v>
      </c>
      <c r="AO7" s="1" t="s">
        <v>945</v>
      </c>
      <c r="AP7" s="1" t="s">
        <v>875</v>
      </c>
      <c r="AQ7" s="1" t="s">
        <v>959</v>
      </c>
      <c r="AR7" s="1" t="s">
        <v>966</v>
      </c>
      <c r="AS7" s="1" t="s">
        <v>973</v>
      </c>
      <c r="AT7" s="1" t="s">
        <v>980</v>
      </c>
      <c r="AU7" s="1" t="s">
        <v>986</v>
      </c>
      <c r="AV7" s="1" t="s">
        <v>993</v>
      </c>
      <c r="AW7" s="1" t="s">
        <v>986</v>
      </c>
      <c r="AX7" s="1" t="s">
        <v>1006</v>
      </c>
      <c r="AY7" s="1" t="s">
        <v>1012</v>
      </c>
      <c r="AZ7" s="1" t="s">
        <v>1018</v>
      </c>
      <c r="BA7" s="1" t="s">
        <v>1025</v>
      </c>
      <c r="BB7" s="1" t="s">
        <v>1032</v>
      </c>
      <c r="BC7" s="1" t="s">
        <v>1038</v>
      </c>
      <c r="BD7" s="1" t="s">
        <v>1042</v>
      </c>
      <c r="BE7" s="1" t="s">
        <v>1049</v>
      </c>
      <c r="BF7" s="1" t="s">
        <v>1055</v>
      </c>
      <c r="BG7" s="1" t="s">
        <v>753</v>
      </c>
      <c r="BH7" s="1" t="s">
        <v>1069</v>
      </c>
      <c r="BI7" s="1" t="s">
        <v>1075</v>
      </c>
      <c r="BJ7" s="1" t="s">
        <v>1083</v>
      </c>
    </row>
    <row r="8" spans="1:62" x14ac:dyDescent="0.35">
      <c r="A8" s="2" t="s">
        <v>91</v>
      </c>
      <c r="B8" s="2" t="s">
        <v>63</v>
      </c>
      <c r="C8" s="2" t="s">
        <v>92</v>
      </c>
      <c r="D8" s="2" t="s">
        <v>93</v>
      </c>
      <c r="E8" s="2" t="s">
        <v>94</v>
      </c>
      <c r="F8" s="2" t="s">
        <v>95</v>
      </c>
      <c r="G8" s="2" t="s">
        <v>96</v>
      </c>
      <c r="H8" s="2" t="s">
        <v>97</v>
      </c>
      <c r="I8" s="2" t="s">
        <v>98</v>
      </c>
      <c r="J8" s="2" t="s">
        <v>99</v>
      </c>
      <c r="K8" s="2" t="s">
        <v>100</v>
      </c>
      <c r="L8" s="2" t="s">
        <v>101</v>
      </c>
      <c r="M8" s="2" t="s">
        <v>102</v>
      </c>
      <c r="N8" s="2" t="s">
        <v>103</v>
      </c>
      <c r="O8" s="2" t="s">
        <v>104</v>
      </c>
      <c r="P8" s="2" t="s">
        <v>105</v>
      </c>
      <c r="Q8" s="2" t="s">
        <v>106</v>
      </c>
      <c r="R8" s="2" t="s">
        <v>107</v>
      </c>
      <c r="S8" s="2" t="s">
        <v>108</v>
      </c>
      <c r="T8" s="2" t="s">
        <v>109</v>
      </c>
      <c r="U8" s="2" t="s">
        <v>110</v>
      </c>
      <c r="V8" s="2" t="s">
        <v>111</v>
      </c>
      <c r="W8" s="2" t="s">
        <v>112</v>
      </c>
      <c r="X8" s="2" t="s">
        <v>113</v>
      </c>
      <c r="Y8" s="2" t="s">
        <v>114</v>
      </c>
      <c r="Z8" s="2" t="s">
        <v>115</v>
      </c>
      <c r="AA8" s="2" t="s">
        <v>116</v>
      </c>
      <c r="AB8" s="2" t="s">
        <v>117</v>
      </c>
      <c r="AC8" s="2" t="s">
        <v>118</v>
      </c>
      <c r="AD8" s="2" t="s">
        <v>119</v>
      </c>
      <c r="AE8" s="2" t="s">
        <v>120</v>
      </c>
      <c r="AF8" s="2" t="s">
        <v>121</v>
      </c>
      <c r="AG8" s="2" t="s">
        <v>122</v>
      </c>
      <c r="AH8" s="2" t="s">
        <v>123</v>
      </c>
      <c r="AI8" s="2" t="s">
        <v>124</v>
      </c>
      <c r="AJ8" s="2" t="s">
        <v>125</v>
      </c>
      <c r="AK8" s="2" t="s">
        <v>126</v>
      </c>
      <c r="AL8" s="2" t="s">
        <v>127</v>
      </c>
      <c r="AM8" s="2" t="s">
        <v>125</v>
      </c>
      <c r="AN8" s="2" t="s">
        <v>128</v>
      </c>
      <c r="AO8" s="2" t="s">
        <v>126</v>
      </c>
      <c r="AP8" s="2" t="s">
        <v>129</v>
      </c>
      <c r="AQ8" s="2" t="s">
        <v>130</v>
      </c>
      <c r="AR8" s="2" t="s">
        <v>131</v>
      </c>
      <c r="AS8" s="2" t="s">
        <v>132</v>
      </c>
      <c r="AT8" s="2" t="s">
        <v>133</v>
      </c>
      <c r="AU8" s="2" t="s">
        <v>134</v>
      </c>
      <c r="AV8" s="2" t="s">
        <v>135</v>
      </c>
      <c r="AW8" s="2" t="s">
        <v>136</v>
      </c>
      <c r="AX8" s="2" t="s">
        <v>137</v>
      </c>
      <c r="AY8" s="2" t="s">
        <v>138</v>
      </c>
      <c r="AZ8" s="2" t="s">
        <v>139</v>
      </c>
      <c r="BA8" s="2" t="s">
        <v>140</v>
      </c>
      <c r="BB8" s="2" t="s">
        <v>141</v>
      </c>
      <c r="BC8" s="2" t="s">
        <v>142</v>
      </c>
      <c r="BD8" s="2" t="s">
        <v>143</v>
      </c>
      <c r="BE8" s="2" t="s">
        <v>144</v>
      </c>
      <c r="BF8" s="2" t="s">
        <v>145</v>
      </c>
      <c r="BG8" s="2" t="s">
        <v>146</v>
      </c>
      <c r="BH8" s="2" t="s">
        <v>147</v>
      </c>
      <c r="BI8" s="2" t="s">
        <v>148</v>
      </c>
      <c r="BJ8" s="2" t="s">
        <v>149</v>
      </c>
    </row>
    <row r="9" spans="1:62" x14ac:dyDescent="0.35">
      <c r="A9" s="1" t="s">
        <v>150</v>
      </c>
      <c r="B9" s="1" t="s">
        <v>151</v>
      </c>
      <c r="C9" s="1" t="s">
        <v>152</v>
      </c>
      <c r="D9" s="1" t="s">
        <v>153</v>
      </c>
      <c r="E9" s="1" t="s">
        <v>154</v>
      </c>
      <c r="F9" s="1" t="s">
        <v>155</v>
      </c>
      <c r="G9" s="1" t="s">
        <v>156</v>
      </c>
      <c r="H9" s="1" t="s">
        <v>157</v>
      </c>
      <c r="I9" s="1" t="s">
        <v>158</v>
      </c>
      <c r="J9" s="1" t="s">
        <v>159</v>
      </c>
      <c r="K9" s="1" t="s">
        <v>160</v>
      </c>
      <c r="L9" s="1" t="s">
        <v>161</v>
      </c>
      <c r="M9" s="1" t="s">
        <v>162</v>
      </c>
      <c r="N9" s="1" t="s">
        <v>163</v>
      </c>
      <c r="O9" s="1" t="s">
        <v>164</v>
      </c>
      <c r="P9" s="1" t="s">
        <v>165</v>
      </c>
      <c r="Q9" s="1" t="s">
        <v>782</v>
      </c>
      <c r="R9" s="1" t="s">
        <v>166</v>
      </c>
      <c r="S9" s="1" t="s">
        <v>167</v>
      </c>
      <c r="T9" s="1" t="s">
        <v>168</v>
      </c>
      <c r="U9" s="1" t="s">
        <v>169</v>
      </c>
      <c r="V9" s="1" t="s">
        <v>170</v>
      </c>
      <c r="W9" s="1" t="s">
        <v>819</v>
      </c>
      <c r="X9" s="1" t="s">
        <v>171</v>
      </c>
      <c r="Y9" s="1" t="s">
        <v>172</v>
      </c>
      <c r="Z9" s="1" t="s">
        <v>173</v>
      </c>
      <c r="AA9" s="1" t="s">
        <v>846</v>
      </c>
      <c r="AB9" s="1" t="s">
        <v>854</v>
      </c>
      <c r="AC9" s="1" t="s">
        <v>861</v>
      </c>
      <c r="AD9" s="1" t="s">
        <v>867</v>
      </c>
      <c r="AE9" s="1" t="s">
        <v>875</v>
      </c>
      <c r="AF9" s="1" t="s">
        <v>883</v>
      </c>
      <c r="AG9" s="1" t="s">
        <v>891</v>
      </c>
      <c r="AH9" s="1" t="s">
        <v>87</v>
      </c>
      <c r="AI9" s="1" t="s">
        <v>861</v>
      </c>
      <c r="AJ9" s="1" t="s">
        <v>911</v>
      </c>
      <c r="AK9" s="1" t="s">
        <v>767</v>
      </c>
      <c r="AL9" s="1" t="s">
        <v>924</v>
      </c>
      <c r="AM9" s="1" t="s">
        <v>930</v>
      </c>
      <c r="AN9" s="1" t="s">
        <v>938</v>
      </c>
      <c r="AO9" s="1" t="s">
        <v>946</v>
      </c>
      <c r="AP9" s="1" t="s">
        <v>952</v>
      </c>
      <c r="AQ9" s="1" t="s">
        <v>960</v>
      </c>
      <c r="AR9" s="6" t="s">
        <v>174</v>
      </c>
      <c r="AS9" s="6" t="s">
        <v>174</v>
      </c>
      <c r="AT9" s="6" t="s">
        <v>174</v>
      </c>
      <c r="AU9" s="6" t="s">
        <v>174</v>
      </c>
      <c r="AV9" s="6" t="s">
        <v>174</v>
      </c>
      <c r="AW9" s="6" t="s">
        <v>174</v>
      </c>
      <c r="AX9" s="6" t="s">
        <v>174</v>
      </c>
      <c r="AY9" s="6" t="s">
        <v>174</v>
      </c>
      <c r="AZ9" s="6" t="s">
        <v>174</v>
      </c>
      <c r="BA9" s="6" t="s">
        <v>174</v>
      </c>
      <c r="BB9" s="6" t="s">
        <v>174</v>
      </c>
      <c r="BC9" s="6" t="s">
        <v>174</v>
      </c>
      <c r="BD9" s="6" t="s">
        <v>174</v>
      </c>
      <c r="BE9" s="6" t="s">
        <v>174</v>
      </c>
      <c r="BF9" s="6" t="s">
        <v>174</v>
      </c>
      <c r="BG9" s="6" t="s">
        <v>174</v>
      </c>
      <c r="BH9" s="6" t="s">
        <v>174</v>
      </c>
      <c r="BI9" s="6" t="s">
        <v>174</v>
      </c>
      <c r="BJ9" s="6" t="s">
        <v>174</v>
      </c>
    </row>
    <row r="10" spans="1:62" s="8" customFormat="1" x14ac:dyDescent="0.35">
      <c r="A10" s="7" t="s">
        <v>175</v>
      </c>
      <c r="B10" s="7" t="s">
        <v>63</v>
      </c>
      <c r="C10" s="7" t="s">
        <v>176</v>
      </c>
      <c r="D10" s="6" t="s">
        <v>174</v>
      </c>
      <c r="E10" s="6" t="s">
        <v>174</v>
      </c>
      <c r="F10" s="6" t="s">
        <v>174</v>
      </c>
      <c r="G10" s="6" t="s">
        <v>174</v>
      </c>
      <c r="H10" s="6" t="s">
        <v>177</v>
      </c>
      <c r="I10" s="2" t="s">
        <v>178</v>
      </c>
      <c r="J10" s="2" t="s">
        <v>178</v>
      </c>
      <c r="K10" s="2" t="s">
        <v>179</v>
      </c>
      <c r="L10" s="2" t="s">
        <v>179</v>
      </c>
      <c r="M10" s="2" t="s">
        <v>180</v>
      </c>
      <c r="N10" s="2" t="s">
        <v>181</v>
      </c>
      <c r="O10" s="2" t="s">
        <v>181</v>
      </c>
      <c r="P10" s="2" t="s">
        <v>182</v>
      </c>
      <c r="Q10" s="2" t="s">
        <v>182</v>
      </c>
      <c r="R10" s="2" t="s">
        <v>183</v>
      </c>
      <c r="S10" s="2" t="s">
        <v>184</v>
      </c>
      <c r="T10" s="2" t="s">
        <v>184</v>
      </c>
      <c r="U10" s="2" t="s">
        <v>185</v>
      </c>
      <c r="V10" s="2" t="s">
        <v>186</v>
      </c>
      <c r="W10" s="2" t="s">
        <v>187</v>
      </c>
      <c r="X10" s="2" t="s">
        <v>188</v>
      </c>
      <c r="Y10" s="2" t="s">
        <v>189</v>
      </c>
      <c r="Z10" s="2" t="s">
        <v>190</v>
      </c>
      <c r="AA10" s="2" t="s">
        <v>191</v>
      </c>
      <c r="AB10" s="2" t="s">
        <v>191</v>
      </c>
      <c r="AC10" s="2" t="s">
        <v>192</v>
      </c>
      <c r="AD10" s="2" t="s">
        <v>193</v>
      </c>
      <c r="AE10" s="2" t="s">
        <v>194</v>
      </c>
      <c r="AF10" s="2" t="s">
        <v>195</v>
      </c>
      <c r="AG10" s="2" t="s">
        <v>196</v>
      </c>
      <c r="AH10" s="2" t="s">
        <v>197</v>
      </c>
      <c r="AI10" s="2" t="s">
        <v>198</v>
      </c>
      <c r="AJ10" s="2" t="s">
        <v>199</v>
      </c>
      <c r="AK10" s="2" t="s">
        <v>200</v>
      </c>
      <c r="AL10" s="2" t="s">
        <v>201</v>
      </c>
      <c r="AM10" s="2" t="s">
        <v>202</v>
      </c>
      <c r="AN10" s="2" t="s">
        <v>202</v>
      </c>
      <c r="AO10" s="2" t="s">
        <v>203</v>
      </c>
      <c r="AP10" s="2" t="s">
        <v>204</v>
      </c>
      <c r="AQ10" s="2" t="s">
        <v>185</v>
      </c>
      <c r="AR10" s="2" t="s">
        <v>195</v>
      </c>
      <c r="AS10" s="2" t="s">
        <v>201</v>
      </c>
      <c r="AT10" s="2" t="s">
        <v>205</v>
      </c>
      <c r="AU10" s="2" t="s">
        <v>206</v>
      </c>
      <c r="AV10" s="2" t="s">
        <v>207</v>
      </c>
      <c r="AW10" s="2" t="s">
        <v>208</v>
      </c>
      <c r="AX10" s="2" t="s">
        <v>209</v>
      </c>
      <c r="AY10" s="2" t="s">
        <v>210</v>
      </c>
      <c r="AZ10" s="2" t="s">
        <v>211</v>
      </c>
      <c r="BA10" s="2" t="s">
        <v>212</v>
      </c>
      <c r="BB10" s="2" t="s">
        <v>213</v>
      </c>
      <c r="BC10" s="2" t="s">
        <v>214</v>
      </c>
      <c r="BD10" s="2" t="s">
        <v>215</v>
      </c>
      <c r="BE10" s="2" t="s">
        <v>215</v>
      </c>
      <c r="BF10" s="2" t="s">
        <v>216</v>
      </c>
      <c r="BG10" s="2" t="s">
        <v>217</v>
      </c>
      <c r="BH10" s="2" t="s">
        <v>218</v>
      </c>
      <c r="BI10" s="2" t="s">
        <v>219</v>
      </c>
      <c r="BJ10" s="2" t="s">
        <v>220</v>
      </c>
    </row>
    <row r="11" spans="1:62" x14ac:dyDescent="0.35">
      <c r="A11" s="1" t="s">
        <v>221</v>
      </c>
      <c r="B11" s="1" t="s">
        <v>63</v>
      </c>
      <c r="C11" s="1" t="s">
        <v>222</v>
      </c>
      <c r="D11" s="1" t="s">
        <v>223</v>
      </c>
      <c r="E11" s="1" t="s">
        <v>224</v>
      </c>
      <c r="F11" s="1" t="s">
        <v>225</v>
      </c>
      <c r="G11" s="1" t="s">
        <v>226</v>
      </c>
      <c r="H11" s="1" t="s">
        <v>227</v>
      </c>
      <c r="I11" s="1" t="s">
        <v>228</v>
      </c>
      <c r="J11" s="1" t="s">
        <v>229</v>
      </c>
      <c r="K11" s="1" t="s">
        <v>230</v>
      </c>
      <c r="L11" s="1" t="s">
        <v>231</v>
      </c>
      <c r="M11" s="1" t="s">
        <v>232</v>
      </c>
      <c r="N11" s="1" t="s">
        <v>123</v>
      </c>
      <c r="O11" s="1" t="s">
        <v>233</v>
      </c>
      <c r="P11" s="1" t="s">
        <v>131</v>
      </c>
      <c r="Q11" s="1" t="s">
        <v>234</v>
      </c>
      <c r="R11" s="1" t="s">
        <v>235</v>
      </c>
      <c r="S11" s="1" t="s">
        <v>236</v>
      </c>
      <c r="T11" s="1" t="s">
        <v>237</v>
      </c>
      <c r="U11" s="1" t="s">
        <v>238</v>
      </c>
      <c r="V11" s="1" t="s">
        <v>239</v>
      </c>
      <c r="W11" s="1" t="s">
        <v>240</v>
      </c>
      <c r="X11" s="1" t="s">
        <v>135</v>
      </c>
      <c r="Y11" s="1" t="s">
        <v>241</v>
      </c>
      <c r="Z11" s="1" t="s">
        <v>242</v>
      </c>
      <c r="AA11" s="1" t="s">
        <v>243</v>
      </c>
      <c r="AB11" s="1" t="s">
        <v>244</v>
      </c>
      <c r="AC11" s="1" t="s">
        <v>245</v>
      </c>
      <c r="AD11" s="1" t="s">
        <v>246</v>
      </c>
      <c r="AE11" s="1" t="s">
        <v>247</v>
      </c>
      <c r="AF11" s="1" t="s">
        <v>248</v>
      </c>
      <c r="AG11" s="1" t="s">
        <v>249</v>
      </c>
      <c r="AH11" s="1" t="s">
        <v>250</v>
      </c>
      <c r="AI11" s="1" t="s">
        <v>251</v>
      </c>
      <c r="AJ11" s="1" t="s">
        <v>252</v>
      </c>
      <c r="AK11" s="1" t="s">
        <v>253</v>
      </c>
      <c r="AL11" s="1" t="s">
        <v>254</v>
      </c>
      <c r="AM11" s="1" t="s">
        <v>255</v>
      </c>
      <c r="AN11" s="1" t="s">
        <v>256</v>
      </c>
      <c r="AO11" s="1" t="s">
        <v>257</v>
      </c>
      <c r="AP11" s="1" t="s">
        <v>258</v>
      </c>
      <c r="AQ11" s="1" t="s">
        <v>259</v>
      </c>
      <c r="AR11" s="1" t="s">
        <v>260</v>
      </c>
      <c r="AS11" s="1" t="s">
        <v>261</v>
      </c>
      <c r="AT11" s="1" t="s">
        <v>262</v>
      </c>
      <c r="AU11" s="1" t="s">
        <v>263</v>
      </c>
      <c r="AV11" s="1" t="s">
        <v>264</v>
      </c>
      <c r="AW11" s="1" t="s">
        <v>246</v>
      </c>
      <c r="AX11" s="1" t="s">
        <v>256</v>
      </c>
      <c r="AY11" s="1" t="s">
        <v>263</v>
      </c>
      <c r="AZ11" s="1" t="s">
        <v>252</v>
      </c>
      <c r="BA11" s="1" t="s">
        <v>254</v>
      </c>
      <c r="BB11" s="1" t="s">
        <v>243</v>
      </c>
      <c r="BC11" s="1" t="s">
        <v>265</v>
      </c>
      <c r="BD11" s="1" t="s">
        <v>266</v>
      </c>
      <c r="BE11" s="1" t="s">
        <v>267</v>
      </c>
      <c r="BF11" s="1" t="s">
        <v>268</v>
      </c>
      <c r="BG11" s="1" t="s">
        <v>269</v>
      </c>
      <c r="BH11" s="1" t="s">
        <v>270</v>
      </c>
      <c r="BI11" s="1" t="s">
        <v>271</v>
      </c>
      <c r="BJ11" s="1" t="s">
        <v>272</v>
      </c>
    </row>
    <row r="12" spans="1:62" x14ac:dyDescent="0.35">
      <c r="A12" s="2" t="s">
        <v>273</v>
      </c>
      <c r="B12" s="2" t="s">
        <v>63</v>
      </c>
      <c r="C12" s="2" t="s">
        <v>274</v>
      </c>
      <c r="D12" s="2" t="s">
        <v>174</v>
      </c>
      <c r="E12" s="2" t="s">
        <v>202</v>
      </c>
      <c r="F12" s="2" t="s">
        <v>275</v>
      </c>
      <c r="G12" s="2" t="s">
        <v>276</v>
      </c>
      <c r="H12" s="2" t="s">
        <v>277</v>
      </c>
      <c r="I12" s="2" t="s">
        <v>278</v>
      </c>
      <c r="J12" s="2" t="s">
        <v>279</v>
      </c>
      <c r="K12" s="2" t="s">
        <v>280</v>
      </c>
      <c r="L12" s="2" t="s">
        <v>281</v>
      </c>
      <c r="M12" s="2" t="s">
        <v>282</v>
      </c>
      <c r="N12" s="2" t="s">
        <v>220</v>
      </c>
      <c r="O12" s="2" t="s">
        <v>104</v>
      </c>
      <c r="P12" s="2" t="s">
        <v>283</v>
      </c>
      <c r="Q12" s="2" t="s">
        <v>284</v>
      </c>
      <c r="R12" s="2" t="s">
        <v>285</v>
      </c>
      <c r="S12" s="2" t="s">
        <v>286</v>
      </c>
      <c r="T12" s="2" t="s">
        <v>285</v>
      </c>
      <c r="U12" s="2" t="s">
        <v>287</v>
      </c>
      <c r="V12" s="2" t="s">
        <v>288</v>
      </c>
      <c r="W12" s="2" t="s">
        <v>288</v>
      </c>
      <c r="X12" s="2" t="s">
        <v>133</v>
      </c>
      <c r="Y12" s="2" t="s">
        <v>289</v>
      </c>
      <c r="Z12" s="2" t="s">
        <v>290</v>
      </c>
      <c r="AA12" s="2" t="s">
        <v>291</v>
      </c>
      <c r="AB12" s="2" t="s">
        <v>292</v>
      </c>
      <c r="AC12" s="2" t="s">
        <v>293</v>
      </c>
      <c r="AD12" s="2" t="s">
        <v>294</v>
      </c>
      <c r="AE12" s="2" t="s">
        <v>295</v>
      </c>
      <c r="AF12" s="2" t="s">
        <v>260</v>
      </c>
      <c r="AG12" s="2" t="s">
        <v>264</v>
      </c>
      <c r="AH12" s="2" t="s">
        <v>262</v>
      </c>
      <c r="AI12" s="2" t="s">
        <v>145</v>
      </c>
      <c r="AJ12" s="2" t="s">
        <v>296</v>
      </c>
      <c r="AK12" s="2" t="s">
        <v>297</v>
      </c>
      <c r="AL12" s="2" t="s">
        <v>298</v>
      </c>
      <c r="AM12" s="2" t="s">
        <v>299</v>
      </c>
      <c r="AN12" s="2" t="s">
        <v>297</v>
      </c>
      <c r="AO12" s="2" t="s">
        <v>153</v>
      </c>
      <c r="AP12" s="2" t="s">
        <v>300</v>
      </c>
      <c r="AQ12" s="2" t="s">
        <v>301</v>
      </c>
      <c r="AR12" s="2" t="s">
        <v>302</v>
      </c>
      <c r="AS12" s="2" t="s">
        <v>303</v>
      </c>
      <c r="AT12" s="2" t="s">
        <v>304</v>
      </c>
      <c r="AU12" s="2" t="s">
        <v>305</v>
      </c>
      <c r="AV12" s="2" t="s">
        <v>306</v>
      </c>
      <c r="AW12" s="2" t="s">
        <v>307</v>
      </c>
      <c r="AX12" s="2" t="s">
        <v>308</v>
      </c>
      <c r="AY12" s="2" t="s">
        <v>309</v>
      </c>
      <c r="AZ12" s="2" t="s">
        <v>310</v>
      </c>
      <c r="BA12" s="2" t="s">
        <v>311</v>
      </c>
      <c r="BB12" s="2" t="s">
        <v>312</v>
      </c>
      <c r="BC12" s="2" t="s">
        <v>313</v>
      </c>
      <c r="BD12" s="2" t="s">
        <v>314</v>
      </c>
      <c r="BE12" s="2" t="s">
        <v>315</v>
      </c>
      <c r="BF12" s="2" t="s">
        <v>316</v>
      </c>
      <c r="BG12" s="2" t="s">
        <v>317</v>
      </c>
      <c r="BH12" s="2" t="s">
        <v>318</v>
      </c>
      <c r="BI12" s="2" t="s">
        <v>319</v>
      </c>
      <c r="BJ12" s="2" t="s">
        <v>320</v>
      </c>
    </row>
    <row r="13" spans="1:62" x14ac:dyDescent="0.35">
      <c r="A13" s="1" t="s">
        <v>321</v>
      </c>
      <c r="B13" s="1" t="s">
        <v>63</v>
      </c>
      <c r="C13" s="1" t="s">
        <v>322</v>
      </c>
      <c r="D13" s="1" t="s">
        <v>323</v>
      </c>
      <c r="E13" s="1" t="s">
        <v>324</v>
      </c>
      <c r="F13" s="1" t="s">
        <v>159</v>
      </c>
      <c r="G13" s="1" t="s">
        <v>325</v>
      </c>
      <c r="H13" s="1" t="s">
        <v>326</v>
      </c>
      <c r="I13" s="1" t="s">
        <v>327</v>
      </c>
      <c r="J13" s="1" t="s">
        <v>328</v>
      </c>
      <c r="K13" s="1" t="s">
        <v>743</v>
      </c>
      <c r="L13" s="1" t="s">
        <v>749</v>
      </c>
      <c r="M13" s="1" t="s">
        <v>755</v>
      </c>
      <c r="N13" s="1" t="s">
        <v>761</v>
      </c>
      <c r="O13" s="1" t="s">
        <v>768</v>
      </c>
      <c r="P13" s="1" t="s">
        <v>775</v>
      </c>
      <c r="Q13" s="1" t="s">
        <v>783</v>
      </c>
      <c r="R13" s="1" t="s">
        <v>789</v>
      </c>
      <c r="S13" s="1" t="s">
        <v>796</v>
      </c>
      <c r="T13" s="1" t="s">
        <v>802</v>
      </c>
      <c r="U13" s="1" t="s">
        <v>808</v>
      </c>
      <c r="V13" s="1" t="s">
        <v>637</v>
      </c>
      <c r="W13" s="1" t="s">
        <v>820</v>
      </c>
      <c r="X13" s="1" t="s">
        <v>827</v>
      </c>
      <c r="Y13" s="1" t="s">
        <v>834</v>
      </c>
      <c r="Z13" s="1" t="s">
        <v>840</v>
      </c>
      <c r="AA13" s="1" t="s">
        <v>847</v>
      </c>
      <c r="AB13" s="1" t="s">
        <v>855</v>
      </c>
      <c r="AC13" s="1" t="s">
        <v>862</v>
      </c>
      <c r="AD13" s="1" t="s">
        <v>868</v>
      </c>
      <c r="AE13" s="1" t="s">
        <v>876</v>
      </c>
      <c r="AF13" s="1" t="s">
        <v>884</v>
      </c>
      <c r="AG13" s="1" t="s">
        <v>892</v>
      </c>
      <c r="AH13" s="1" t="s">
        <v>899</v>
      </c>
      <c r="AI13" s="1" t="s">
        <v>905</v>
      </c>
      <c r="AJ13" s="1" t="s">
        <v>912</v>
      </c>
      <c r="AK13" s="1" t="s">
        <v>919</v>
      </c>
      <c r="AL13" s="1" t="s">
        <v>912</v>
      </c>
      <c r="AM13" s="1" t="s">
        <v>931</v>
      </c>
      <c r="AN13" s="1" t="s">
        <v>939</v>
      </c>
      <c r="AO13" s="1" t="s">
        <v>928</v>
      </c>
      <c r="AP13" s="1" t="s">
        <v>953</v>
      </c>
      <c r="AQ13" s="1" t="s">
        <v>961</v>
      </c>
      <c r="AR13" s="1" t="s">
        <v>967</v>
      </c>
      <c r="AS13" s="1" t="s">
        <v>974</v>
      </c>
      <c r="AT13" s="1" t="s">
        <v>981</v>
      </c>
      <c r="AU13" s="1" t="s">
        <v>987</v>
      </c>
      <c r="AV13" s="1" t="s">
        <v>994</v>
      </c>
      <c r="AW13" s="1" t="s">
        <v>1000</v>
      </c>
      <c r="AX13" s="1" t="s">
        <v>1007</v>
      </c>
      <c r="AY13" s="1" t="s">
        <v>1013</v>
      </c>
      <c r="AZ13" s="1" t="s">
        <v>1019</v>
      </c>
      <c r="BA13" s="1" t="s">
        <v>1026</v>
      </c>
      <c r="BB13" s="1" t="s">
        <v>1033</v>
      </c>
      <c r="BC13" s="1" t="s">
        <v>719</v>
      </c>
      <c r="BD13" s="1" t="s">
        <v>1043</v>
      </c>
      <c r="BE13" s="1" t="s">
        <v>1050</v>
      </c>
      <c r="BF13" s="1" t="s">
        <v>1056</v>
      </c>
      <c r="BG13" s="1" t="s">
        <v>1062</v>
      </c>
      <c r="BH13" s="1" t="s">
        <v>1070</v>
      </c>
      <c r="BI13" s="1" t="s">
        <v>1076</v>
      </c>
      <c r="BJ13" s="1" t="s">
        <v>1084</v>
      </c>
    </row>
    <row r="14" spans="1:62" x14ac:dyDescent="0.35">
      <c r="A14" s="2" t="s">
        <v>329</v>
      </c>
      <c r="B14" s="2" t="s">
        <v>63</v>
      </c>
      <c r="C14" s="2" t="s">
        <v>330</v>
      </c>
      <c r="D14" s="2" t="s">
        <v>331</v>
      </c>
      <c r="E14" s="2" t="s">
        <v>332</v>
      </c>
      <c r="F14" s="2" t="s">
        <v>201</v>
      </c>
      <c r="G14" s="2" t="s">
        <v>203</v>
      </c>
      <c r="H14" s="2" t="s">
        <v>333</v>
      </c>
      <c r="I14" s="2" t="s">
        <v>208</v>
      </c>
      <c r="J14" s="2" t="s">
        <v>334</v>
      </c>
      <c r="K14" s="2" t="s">
        <v>335</v>
      </c>
      <c r="L14" s="2" t="s">
        <v>336</v>
      </c>
      <c r="M14" s="2" t="s">
        <v>337</v>
      </c>
      <c r="N14" s="2" t="s">
        <v>338</v>
      </c>
      <c r="O14" s="2" t="s">
        <v>339</v>
      </c>
      <c r="P14" s="2" t="s">
        <v>340</v>
      </c>
      <c r="Q14" s="2" t="s">
        <v>341</v>
      </c>
      <c r="R14" s="2" t="s">
        <v>342</v>
      </c>
      <c r="S14" s="2" t="s">
        <v>343</v>
      </c>
      <c r="T14" s="2" t="s">
        <v>340</v>
      </c>
      <c r="U14" s="2" t="s">
        <v>344</v>
      </c>
      <c r="V14" s="2" t="s">
        <v>345</v>
      </c>
      <c r="W14" s="2" t="s">
        <v>231</v>
      </c>
      <c r="X14" s="2" t="s">
        <v>346</v>
      </c>
      <c r="Y14" s="2" t="s">
        <v>347</v>
      </c>
      <c r="Z14" s="2" t="s">
        <v>348</v>
      </c>
      <c r="AA14" s="2" t="s">
        <v>349</v>
      </c>
      <c r="AB14" s="2" t="s">
        <v>350</v>
      </c>
      <c r="AC14" s="2" t="s">
        <v>351</v>
      </c>
      <c r="AD14" s="2" t="s">
        <v>352</v>
      </c>
      <c r="AE14" s="2" t="s">
        <v>353</v>
      </c>
      <c r="AF14" s="2" t="s">
        <v>240</v>
      </c>
      <c r="AG14" s="2" t="s">
        <v>257</v>
      </c>
      <c r="AH14" s="2" t="s">
        <v>354</v>
      </c>
      <c r="AI14" s="2" t="s">
        <v>155</v>
      </c>
      <c r="AJ14" s="2" t="s">
        <v>355</v>
      </c>
      <c r="AK14" s="2" t="s">
        <v>356</v>
      </c>
      <c r="AL14" s="2" t="s">
        <v>250</v>
      </c>
      <c r="AM14" s="2" t="s">
        <v>267</v>
      </c>
      <c r="AN14" s="2" t="s">
        <v>137</v>
      </c>
      <c r="AO14" s="2" t="s">
        <v>357</v>
      </c>
      <c r="AP14" s="2" t="s">
        <v>247</v>
      </c>
      <c r="AQ14" s="2" t="s">
        <v>358</v>
      </c>
      <c r="AR14" s="2" t="s">
        <v>359</v>
      </c>
      <c r="AS14" s="2" t="s">
        <v>360</v>
      </c>
      <c r="AT14" s="2" t="s">
        <v>361</v>
      </c>
      <c r="AU14" s="2" t="s">
        <v>362</v>
      </c>
      <c r="AV14" s="2" t="s">
        <v>363</v>
      </c>
      <c r="AW14" s="2" t="s">
        <v>364</v>
      </c>
      <c r="AX14" s="2" t="s">
        <v>365</v>
      </c>
      <c r="AY14" s="2" t="s">
        <v>366</v>
      </c>
      <c r="AZ14" s="2" t="s">
        <v>367</v>
      </c>
      <c r="BA14" s="2" t="s">
        <v>366</v>
      </c>
      <c r="BB14" s="2" t="s">
        <v>368</v>
      </c>
      <c r="BC14" s="2" t="s">
        <v>369</v>
      </c>
      <c r="BD14" s="2" t="s">
        <v>79</v>
      </c>
      <c r="BE14" s="2" t="s">
        <v>370</v>
      </c>
      <c r="BF14" s="2" t="s">
        <v>371</v>
      </c>
      <c r="BG14" s="2" t="s">
        <v>1063</v>
      </c>
      <c r="BH14" s="2" t="s">
        <v>372</v>
      </c>
      <c r="BI14" s="2" t="s">
        <v>1077</v>
      </c>
      <c r="BJ14" s="2" t="s">
        <v>1085</v>
      </c>
    </row>
    <row r="15" spans="1:62" x14ac:dyDescent="0.35">
      <c r="A15" s="1" t="s">
        <v>373</v>
      </c>
      <c r="B15" s="1" t="s">
        <v>63</v>
      </c>
      <c r="C15" s="1" t="s">
        <v>374</v>
      </c>
      <c r="D15" s="1" t="s">
        <v>375</v>
      </c>
      <c r="E15" s="1" t="s">
        <v>376</v>
      </c>
      <c r="F15" s="1" t="s">
        <v>377</v>
      </c>
      <c r="G15" s="1" t="s">
        <v>378</v>
      </c>
      <c r="H15" s="1" t="s">
        <v>379</v>
      </c>
      <c r="I15" s="1" t="s">
        <v>380</v>
      </c>
      <c r="J15" s="1" t="s">
        <v>111</v>
      </c>
      <c r="K15" s="1" t="s">
        <v>381</v>
      </c>
      <c r="L15" s="1" t="s">
        <v>382</v>
      </c>
      <c r="M15" s="1" t="s">
        <v>383</v>
      </c>
      <c r="N15" s="1" t="s">
        <v>344</v>
      </c>
      <c r="O15" s="1" t="s">
        <v>384</v>
      </c>
      <c r="P15" s="1" t="s">
        <v>385</v>
      </c>
      <c r="Q15" s="1" t="s">
        <v>386</v>
      </c>
      <c r="R15" s="1" t="s">
        <v>387</v>
      </c>
      <c r="S15" s="1" t="s">
        <v>388</v>
      </c>
      <c r="T15" s="1" t="s">
        <v>389</v>
      </c>
      <c r="U15" s="1" t="s">
        <v>390</v>
      </c>
      <c r="V15" s="1" t="s">
        <v>391</v>
      </c>
      <c r="W15" s="1" t="s">
        <v>392</v>
      </c>
      <c r="X15" s="1" t="s">
        <v>393</v>
      </c>
      <c r="Y15" s="1" t="s">
        <v>394</v>
      </c>
      <c r="Z15" s="1" t="s">
        <v>121</v>
      </c>
      <c r="AA15" s="1" t="s">
        <v>395</v>
      </c>
      <c r="AB15" s="1" t="s">
        <v>396</v>
      </c>
      <c r="AC15" s="1" t="s">
        <v>284</v>
      </c>
      <c r="AD15" s="1" t="s">
        <v>397</v>
      </c>
      <c r="AE15" s="1" t="s">
        <v>398</v>
      </c>
      <c r="AF15" s="1" t="s">
        <v>399</v>
      </c>
      <c r="AG15" s="1" t="s">
        <v>400</v>
      </c>
      <c r="AH15" s="1" t="s">
        <v>236</v>
      </c>
      <c r="AI15" s="1" t="s">
        <v>401</v>
      </c>
      <c r="AJ15" s="1" t="s">
        <v>353</v>
      </c>
      <c r="AK15" s="1" t="s">
        <v>246</v>
      </c>
      <c r="AL15" s="1" t="s">
        <v>402</v>
      </c>
      <c r="AM15" s="1" t="s">
        <v>403</v>
      </c>
      <c r="AN15" s="1" t="s">
        <v>245</v>
      </c>
      <c r="AO15" s="1" t="s">
        <v>404</v>
      </c>
      <c r="AP15" s="1" t="s">
        <v>405</v>
      </c>
      <c r="AQ15" s="1" t="s">
        <v>406</v>
      </c>
      <c r="AR15" s="1" t="s">
        <v>361</v>
      </c>
      <c r="AS15" s="1" t="s">
        <v>269</v>
      </c>
      <c r="AT15" s="1" t="s">
        <v>407</v>
      </c>
      <c r="AU15" s="1" t="s">
        <v>408</v>
      </c>
      <c r="AV15" s="1" t="s">
        <v>409</v>
      </c>
      <c r="AW15" s="1" t="s">
        <v>366</v>
      </c>
      <c r="AX15" s="1" t="s">
        <v>410</v>
      </c>
      <c r="AY15" s="1" t="s">
        <v>411</v>
      </c>
      <c r="AZ15" s="1" t="s">
        <v>412</v>
      </c>
      <c r="BA15" s="1" t="s">
        <v>413</v>
      </c>
      <c r="BB15" s="1" t="s">
        <v>414</v>
      </c>
      <c r="BC15" s="1" t="s">
        <v>415</v>
      </c>
      <c r="BD15" s="1" t="s">
        <v>416</v>
      </c>
      <c r="BE15" s="1" t="s">
        <v>417</v>
      </c>
      <c r="BF15" s="1" t="s">
        <v>418</v>
      </c>
      <c r="BG15" s="1" t="s">
        <v>419</v>
      </c>
      <c r="BH15" s="1" t="s">
        <v>88</v>
      </c>
      <c r="BI15" s="1" t="s">
        <v>1078</v>
      </c>
      <c r="BJ15" s="1" t="s">
        <v>1086</v>
      </c>
    </row>
    <row r="16" spans="1:62" x14ac:dyDescent="0.35">
      <c r="A16" s="2" t="s">
        <v>420</v>
      </c>
      <c r="B16" s="2" t="s">
        <v>421</v>
      </c>
      <c r="C16" s="2" t="s">
        <v>422</v>
      </c>
      <c r="D16" s="2" t="s">
        <v>708</v>
      </c>
      <c r="E16" s="2" t="s">
        <v>713</v>
      </c>
      <c r="F16" s="2" t="s">
        <v>718</v>
      </c>
      <c r="G16" s="2" t="s">
        <v>723</v>
      </c>
      <c r="H16" s="2" t="s">
        <v>728</v>
      </c>
      <c r="I16" s="2" t="s">
        <v>733</v>
      </c>
      <c r="J16" s="2" t="s">
        <v>738</v>
      </c>
      <c r="K16" s="2" t="s">
        <v>744</v>
      </c>
      <c r="L16" s="2" t="s">
        <v>750</v>
      </c>
      <c r="M16" s="2" t="s">
        <v>756</v>
      </c>
      <c r="N16" s="2" t="s">
        <v>762</v>
      </c>
      <c r="O16" s="2" t="s">
        <v>769</v>
      </c>
      <c r="P16" s="2" t="s">
        <v>776</v>
      </c>
      <c r="Q16" s="2" t="s">
        <v>784</v>
      </c>
      <c r="R16" s="2" t="s">
        <v>790</v>
      </c>
      <c r="S16" s="2" t="s">
        <v>797</v>
      </c>
      <c r="T16" s="2" t="s">
        <v>803</v>
      </c>
      <c r="U16" s="2" t="s">
        <v>809</v>
      </c>
      <c r="V16" s="2" t="s">
        <v>813</v>
      </c>
      <c r="W16" s="2" t="s">
        <v>821</v>
      </c>
      <c r="X16" s="2" t="s">
        <v>828</v>
      </c>
      <c r="Y16" s="2" t="s">
        <v>835</v>
      </c>
      <c r="Z16" s="2" t="s">
        <v>841</v>
      </c>
      <c r="AA16" s="2" t="s">
        <v>848</v>
      </c>
      <c r="AB16" s="2" t="s">
        <v>856</v>
      </c>
      <c r="AC16" s="2" t="s">
        <v>832</v>
      </c>
      <c r="AD16" s="2" t="s">
        <v>869</v>
      </c>
      <c r="AE16" s="2" t="s">
        <v>877</v>
      </c>
      <c r="AF16" s="2" t="s">
        <v>885</v>
      </c>
      <c r="AG16" s="2" t="s">
        <v>893</v>
      </c>
      <c r="AH16" s="2" t="s">
        <v>900</v>
      </c>
      <c r="AI16" s="2" t="s">
        <v>651</v>
      </c>
      <c r="AJ16" s="2" t="s">
        <v>913</v>
      </c>
      <c r="AK16" s="2" t="s">
        <v>920</v>
      </c>
      <c r="AL16" s="2" t="s">
        <v>925</v>
      </c>
      <c r="AM16" s="2" t="s">
        <v>932</v>
      </c>
      <c r="AN16" s="2" t="s">
        <v>940</v>
      </c>
      <c r="AO16" s="2" t="s">
        <v>947</v>
      </c>
      <c r="AP16" s="2" t="s">
        <v>954</v>
      </c>
      <c r="AQ16" s="2" t="s">
        <v>962</v>
      </c>
      <c r="AR16" s="2" t="s">
        <v>968</v>
      </c>
      <c r="AS16" s="2" t="s">
        <v>975</v>
      </c>
      <c r="AT16" s="2" t="s">
        <v>982</v>
      </c>
      <c r="AU16" s="2" t="s">
        <v>988</v>
      </c>
      <c r="AV16" s="2" t="s">
        <v>995</v>
      </c>
      <c r="AW16" s="2" t="s">
        <v>1001</v>
      </c>
      <c r="AX16" s="2" t="s">
        <v>1008</v>
      </c>
      <c r="AY16" s="2" t="s">
        <v>1014</v>
      </c>
      <c r="AZ16" s="2" t="s">
        <v>1020</v>
      </c>
      <c r="BA16" s="2" t="s">
        <v>1027</v>
      </c>
      <c r="BB16" s="2" t="s">
        <v>1034</v>
      </c>
      <c r="BC16" s="2" t="s">
        <v>1039</v>
      </c>
      <c r="BD16" s="2" t="s">
        <v>1044</v>
      </c>
      <c r="BE16" s="2" t="s">
        <v>1051</v>
      </c>
      <c r="BF16" s="2" t="s">
        <v>1057</v>
      </c>
      <c r="BG16" s="2" t="s">
        <v>1064</v>
      </c>
      <c r="BH16" s="2" t="s">
        <v>1071</v>
      </c>
      <c r="BI16" s="2" t="s">
        <v>1079</v>
      </c>
      <c r="BJ16" s="2" t="s">
        <v>1087</v>
      </c>
    </row>
    <row r="17" spans="1:62" x14ac:dyDescent="0.35">
      <c r="A17" s="1" t="s">
        <v>423</v>
      </c>
      <c r="B17" s="1" t="s">
        <v>63</v>
      </c>
      <c r="C17" s="1" t="s">
        <v>424</v>
      </c>
      <c r="D17" s="1" t="s">
        <v>425</v>
      </c>
      <c r="E17" s="1" t="s">
        <v>426</v>
      </c>
      <c r="F17" s="1" t="s">
        <v>427</v>
      </c>
      <c r="G17" s="1" t="s">
        <v>428</v>
      </c>
      <c r="H17" s="1" t="s">
        <v>429</v>
      </c>
      <c r="I17" s="1" t="s">
        <v>102</v>
      </c>
      <c r="J17" s="1" t="s">
        <v>430</v>
      </c>
      <c r="K17" s="1" t="s">
        <v>220</v>
      </c>
      <c r="L17" s="1" t="s">
        <v>431</v>
      </c>
      <c r="M17" s="1" t="s">
        <v>432</v>
      </c>
      <c r="N17" s="1" t="s">
        <v>433</v>
      </c>
      <c r="O17" s="1" t="s">
        <v>434</v>
      </c>
      <c r="P17" s="1" t="s">
        <v>375</v>
      </c>
      <c r="Q17" s="1" t="s">
        <v>435</v>
      </c>
      <c r="R17" s="1" t="s">
        <v>436</v>
      </c>
      <c r="S17" s="1" t="s">
        <v>437</v>
      </c>
      <c r="T17" s="1" t="s">
        <v>342</v>
      </c>
      <c r="U17" s="1" t="s">
        <v>381</v>
      </c>
      <c r="V17" s="1" t="s">
        <v>438</v>
      </c>
      <c r="W17" s="1" t="s">
        <v>439</v>
      </c>
      <c r="X17" s="1" t="s">
        <v>440</v>
      </c>
      <c r="Y17" s="1" t="s">
        <v>435</v>
      </c>
      <c r="Z17" s="1" t="s">
        <v>439</v>
      </c>
      <c r="AA17" s="1" t="s">
        <v>441</v>
      </c>
      <c r="AB17" s="1" t="s">
        <v>384</v>
      </c>
      <c r="AC17" s="1" t="s">
        <v>228</v>
      </c>
      <c r="AD17" s="1" t="s">
        <v>442</v>
      </c>
      <c r="AE17" s="1" t="s">
        <v>226</v>
      </c>
      <c r="AF17" s="1" t="s">
        <v>231</v>
      </c>
      <c r="AG17" s="1" t="s">
        <v>390</v>
      </c>
      <c r="AH17" s="1" t="s">
        <v>119</v>
      </c>
      <c r="AI17" s="1" t="s">
        <v>443</v>
      </c>
      <c r="AJ17" s="1" t="s">
        <v>444</v>
      </c>
      <c r="AK17" s="1" t="s">
        <v>445</v>
      </c>
      <c r="AL17" s="1" t="s">
        <v>446</v>
      </c>
      <c r="AM17" s="1" t="s">
        <v>447</v>
      </c>
      <c r="AN17" s="1" t="s">
        <v>448</v>
      </c>
      <c r="AO17" s="1" t="s">
        <v>449</v>
      </c>
      <c r="AP17" s="1" t="s">
        <v>125</v>
      </c>
      <c r="AQ17" s="1" t="s">
        <v>450</v>
      </c>
      <c r="AR17" s="1" t="s">
        <v>451</v>
      </c>
      <c r="AS17" s="1" t="s">
        <v>397</v>
      </c>
      <c r="AT17" s="1" t="s">
        <v>452</v>
      </c>
      <c r="AU17" s="1" t="s">
        <v>453</v>
      </c>
      <c r="AV17" s="1" t="s">
        <v>289</v>
      </c>
      <c r="AW17" s="1" t="s">
        <v>295</v>
      </c>
      <c r="AX17" s="1" t="s">
        <v>236</v>
      </c>
      <c r="AY17" s="1" t="s">
        <v>286</v>
      </c>
      <c r="AZ17" s="1" t="s">
        <v>454</v>
      </c>
      <c r="BA17" s="1" t="s">
        <v>256</v>
      </c>
      <c r="BB17" s="1" t="s">
        <v>455</v>
      </c>
      <c r="BC17" s="1" t="s">
        <v>261</v>
      </c>
      <c r="BD17" s="1" t="s">
        <v>354</v>
      </c>
      <c r="BE17" s="1" t="s">
        <v>456</v>
      </c>
      <c r="BF17" s="1" t="s">
        <v>268</v>
      </c>
      <c r="BG17" s="1" t="s">
        <v>457</v>
      </c>
      <c r="BH17" s="1" t="s">
        <v>267</v>
      </c>
      <c r="BI17" s="1" t="s">
        <v>458</v>
      </c>
      <c r="BJ17" s="1" t="s">
        <v>358</v>
      </c>
    </row>
    <row r="18" spans="1:62" x14ac:dyDescent="0.35">
      <c r="A18" s="2" t="s">
        <v>459</v>
      </c>
      <c r="B18" s="2" t="s">
        <v>63</v>
      </c>
      <c r="C18" s="2" t="s">
        <v>460</v>
      </c>
      <c r="D18" s="6" t="s">
        <v>174</v>
      </c>
      <c r="E18" s="6" t="s">
        <v>174</v>
      </c>
      <c r="F18" s="6" t="s">
        <v>174</v>
      </c>
      <c r="G18" s="6" t="s">
        <v>174</v>
      </c>
      <c r="H18" s="6" t="s">
        <v>174</v>
      </c>
      <c r="I18" s="6" t="s">
        <v>174</v>
      </c>
      <c r="J18" s="2" t="s">
        <v>178</v>
      </c>
      <c r="K18" s="2" t="s">
        <v>178</v>
      </c>
      <c r="L18" s="2" t="s">
        <v>178</v>
      </c>
      <c r="M18" s="2" t="s">
        <v>178</v>
      </c>
      <c r="N18" s="2" t="s">
        <v>178</v>
      </c>
      <c r="O18" s="2" t="s">
        <v>179</v>
      </c>
      <c r="P18" s="2" t="s">
        <v>179</v>
      </c>
      <c r="Q18" s="2" t="s">
        <v>179</v>
      </c>
      <c r="R18" s="2" t="s">
        <v>179</v>
      </c>
      <c r="S18" s="2" t="s">
        <v>181</v>
      </c>
      <c r="T18" s="2" t="s">
        <v>461</v>
      </c>
      <c r="U18" s="2" t="s">
        <v>182</v>
      </c>
      <c r="V18" s="2" t="s">
        <v>182</v>
      </c>
      <c r="W18" s="2" t="s">
        <v>183</v>
      </c>
      <c r="X18" s="2" t="s">
        <v>183</v>
      </c>
      <c r="Y18" s="2" t="s">
        <v>184</v>
      </c>
      <c r="Z18" s="2" t="s">
        <v>184</v>
      </c>
      <c r="AA18" s="2" t="s">
        <v>462</v>
      </c>
      <c r="AB18" s="2" t="s">
        <v>463</v>
      </c>
      <c r="AC18" s="2" t="s">
        <v>188</v>
      </c>
      <c r="AD18" s="2" t="s">
        <v>464</v>
      </c>
      <c r="AE18" s="2" t="s">
        <v>465</v>
      </c>
      <c r="AF18" s="2" t="s">
        <v>187</v>
      </c>
      <c r="AG18" s="2" t="s">
        <v>189</v>
      </c>
      <c r="AH18" s="2" t="s">
        <v>189</v>
      </c>
      <c r="AI18" s="2" t="s">
        <v>466</v>
      </c>
      <c r="AJ18" s="2" t="s">
        <v>467</v>
      </c>
      <c r="AK18" s="2" t="s">
        <v>468</v>
      </c>
      <c r="AL18" s="2" t="s">
        <v>469</v>
      </c>
      <c r="AM18" s="2" t="s">
        <v>470</v>
      </c>
      <c r="AN18" s="2" t="s">
        <v>194</v>
      </c>
      <c r="AO18" s="2" t="s">
        <v>471</v>
      </c>
      <c r="AP18" s="2" t="s">
        <v>202</v>
      </c>
      <c r="AQ18" s="2" t="s">
        <v>206</v>
      </c>
      <c r="AR18" s="2" t="s">
        <v>472</v>
      </c>
      <c r="AS18" s="2" t="s">
        <v>473</v>
      </c>
      <c r="AT18" s="2" t="s">
        <v>474</v>
      </c>
      <c r="AU18" s="2" t="s">
        <v>214</v>
      </c>
      <c r="AV18" s="2" t="s">
        <v>475</v>
      </c>
      <c r="AW18" s="2" t="s">
        <v>476</v>
      </c>
      <c r="AX18" s="2" t="s">
        <v>477</v>
      </c>
      <c r="AY18" s="2" t="s">
        <v>98</v>
      </c>
      <c r="AZ18" s="2" t="s">
        <v>478</v>
      </c>
      <c r="BA18" s="2" t="s">
        <v>98</v>
      </c>
      <c r="BB18" s="2" t="s">
        <v>479</v>
      </c>
      <c r="BC18" s="2" t="s">
        <v>480</v>
      </c>
      <c r="BD18" s="2" t="s">
        <v>481</v>
      </c>
      <c r="BE18" s="2" t="s">
        <v>437</v>
      </c>
      <c r="BF18" s="2" t="s">
        <v>380</v>
      </c>
      <c r="BG18" s="2" t="s">
        <v>446</v>
      </c>
      <c r="BH18" s="2" t="s">
        <v>435</v>
      </c>
      <c r="BI18" s="2" t="s">
        <v>390</v>
      </c>
      <c r="BJ18" s="2" t="s">
        <v>482</v>
      </c>
    </row>
    <row r="19" spans="1:62" x14ac:dyDescent="0.35">
      <c r="A19" s="1" t="s">
        <v>483</v>
      </c>
      <c r="B19" s="1" t="s">
        <v>63</v>
      </c>
      <c r="C19" s="1" t="s">
        <v>484</v>
      </c>
      <c r="D19" s="1" t="s">
        <v>144</v>
      </c>
      <c r="E19" s="1" t="s">
        <v>485</v>
      </c>
      <c r="F19" s="1" t="s">
        <v>486</v>
      </c>
      <c r="G19" s="1" t="s">
        <v>487</v>
      </c>
      <c r="H19" s="1" t="s">
        <v>488</v>
      </c>
      <c r="I19" s="1" t="s">
        <v>489</v>
      </c>
      <c r="J19" s="1" t="s">
        <v>490</v>
      </c>
      <c r="K19" s="1" t="s">
        <v>491</v>
      </c>
      <c r="L19" s="1" t="s">
        <v>492</v>
      </c>
      <c r="M19" s="1" t="s">
        <v>234</v>
      </c>
      <c r="N19" s="1" t="s">
        <v>399</v>
      </c>
      <c r="O19" s="1" t="s">
        <v>493</v>
      </c>
      <c r="P19" s="1" t="s">
        <v>494</v>
      </c>
      <c r="Q19" s="1" t="s">
        <v>495</v>
      </c>
      <c r="R19" s="1" t="s">
        <v>496</v>
      </c>
      <c r="S19" s="1" t="s">
        <v>116</v>
      </c>
      <c r="T19" s="1" t="s">
        <v>492</v>
      </c>
      <c r="U19" s="1" t="s">
        <v>293</v>
      </c>
      <c r="V19" s="1" t="s">
        <v>497</v>
      </c>
      <c r="W19" s="1" t="s">
        <v>498</v>
      </c>
      <c r="X19" s="1" t="s">
        <v>499</v>
      </c>
      <c r="Y19" s="1" t="s">
        <v>127</v>
      </c>
      <c r="Z19" s="1" t="s">
        <v>500</v>
      </c>
      <c r="AA19" s="1" t="s">
        <v>501</v>
      </c>
      <c r="AB19" s="1" t="s">
        <v>447</v>
      </c>
      <c r="AC19" s="1" t="s">
        <v>502</v>
      </c>
      <c r="AD19" s="1" t="s">
        <v>503</v>
      </c>
      <c r="AE19" s="1" t="s">
        <v>504</v>
      </c>
      <c r="AF19" s="1" t="s">
        <v>502</v>
      </c>
      <c r="AG19" s="1" t="s">
        <v>505</v>
      </c>
      <c r="AH19" s="1" t="s">
        <v>506</v>
      </c>
      <c r="AI19" s="1" t="s">
        <v>507</v>
      </c>
      <c r="AJ19" s="1" t="s">
        <v>133</v>
      </c>
      <c r="AK19" s="1" t="s">
        <v>508</v>
      </c>
      <c r="AL19" s="1" t="s">
        <v>509</v>
      </c>
      <c r="AM19" s="1" t="s">
        <v>294</v>
      </c>
      <c r="AN19" s="1" t="s">
        <v>293</v>
      </c>
      <c r="AO19" s="1" t="s">
        <v>241</v>
      </c>
      <c r="AP19" s="1" t="s">
        <v>510</v>
      </c>
      <c r="AQ19" s="1" t="s">
        <v>511</v>
      </c>
      <c r="AR19" s="1" t="s">
        <v>285</v>
      </c>
      <c r="AS19" s="1" t="s">
        <v>234</v>
      </c>
      <c r="AT19" s="1" t="s">
        <v>512</v>
      </c>
      <c r="AU19" s="1" t="s">
        <v>244</v>
      </c>
      <c r="AV19" s="1" t="s">
        <v>513</v>
      </c>
      <c r="AW19" s="1" t="s">
        <v>514</v>
      </c>
      <c r="AX19" s="1" t="s">
        <v>515</v>
      </c>
      <c r="AY19" s="1" t="s">
        <v>139</v>
      </c>
      <c r="AZ19" s="1" t="s">
        <v>516</v>
      </c>
      <c r="BA19" s="1" t="s">
        <v>517</v>
      </c>
      <c r="BB19" s="1" t="s">
        <v>518</v>
      </c>
      <c r="BC19" s="1" t="s">
        <v>363</v>
      </c>
      <c r="BD19" s="1" t="s">
        <v>486</v>
      </c>
      <c r="BE19" s="1" t="s">
        <v>519</v>
      </c>
      <c r="BF19" s="1" t="s">
        <v>519</v>
      </c>
      <c r="BG19" s="1" t="s">
        <v>520</v>
      </c>
      <c r="BH19" s="1" t="s">
        <v>521</v>
      </c>
      <c r="BI19" s="1" t="s">
        <v>302</v>
      </c>
      <c r="BJ19" s="1" t="s">
        <v>522</v>
      </c>
    </row>
    <row r="20" spans="1:62" x14ac:dyDescent="0.35">
      <c r="A20" s="2" t="s">
        <v>523</v>
      </c>
      <c r="B20" s="2" t="s">
        <v>66</v>
      </c>
      <c r="C20" s="2" t="s">
        <v>524</v>
      </c>
      <c r="D20" s="2" t="s">
        <v>525</v>
      </c>
      <c r="E20" s="2" t="s">
        <v>526</v>
      </c>
      <c r="F20" s="2" t="s">
        <v>383</v>
      </c>
      <c r="G20" s="2" t="s">
        <v>527</v>
      </c>
      <c r="H20" s="2" t="s">
        <v>528</v>
      </c>
      <c r="I20" s="2" t="s">
        <v>529</v>
      </c>
      <c r="J20" s="2" t="s">
        <v>441</v>
      </c>
      <c r="K20" s="2" t="s">
        <v>223</v>
      </c>
      <c r="L20" s="2" t="s">
        <v>530</v>
      </c>
      <c r="M20" s="2" t="s">
        <v>435</v>
      </c>
      <c r="N20" s="2" t="s">
        <v>531</v>
      </c>
      <c r="O20" s="2" t="s">
        <v>389</v>
      </c>
      <c r="P20" s="2" t="s">
        <v>532</v>
      </c>
      <c r="Q20" s="2" t="s">
        <v>533</v>
      </c>
      <c r="R20" s="2" t="s">
        <v>231</v>
      </c>
      <c r="S20" s="2" t="s">
        <v>534</v>
      </c>
      <c r="T20" s="2" t="s">
        <v>348</v>
      </c>
      <c r="U20" s="2" t="s">
        <v>441</v>
      </c>
      <c r="V20" s="2" t="s">
        <v>389</v>
      </c>
      <c r="W20" s="2" t="s">
        <v>386</v>
      </c>
      <c r="X20" s="2" t="s">
        <v>444</v>
      </c>
      <c r="Y20" s="2" t="s">
        <v>339</v>
      </c>
      <c r="Z20" s="2" t="s">
        <v>533</v>
      </c>
      <c r="AA20" s="2" t="s">
        <v>386</v>
      </c>
      <c r="AB20" s="2" t="s">
        <v>535</v>
      </c>
      <c r="AC20" s="2" t="s">
        <v>534</v>
      </c>
      <c r="AD20" s="2" t="s">
        <v>230</v>
      </c>
      <c r="AE20" s="2" t="s">
        <v>536</v>
      </c>
      <c r="AF20" s="2" t="s">
        <v>449</v>
      </c>
      <c r="AG20" s="2" t="s">
        <v>537</v>
      </c>
      <c r="AH20" s="2" t="s">
        <v>538</v>
      </c>
      <c r="AI20" s="2" t="s">
        <v>129</v>
      </c>
      <c r="AJ20" s="2" t="s">
        <v>291</v>
      </c>
      <c r="AK20" s="2" t="s">
        <v>506</v>
      </c>
      <c r="AL20" s="2" t="s">
        <v>125</v>
      </c>
      <c r="AM20" s="2" t="s">
        <v>452</v>
      </c>
      <c r="AN20" s="2" t="s">
        <v>137</v>
      </c>
      <c r="AO20" s="2" t="s">
        <v>397</v>
      </c>
      <c r="AP20" s="2" t="s">
        <v>539</v>
      </c>
      <c r="AQ20" s="2" t="s">
        <v>260</v>
      </c>
      <c r="AR20" s="2" t="s">
        <v>540</v>
      </c>
      <c r="AS20" s="2" t="s">
        <v>492</v>
      </c>
      <c r="AT20" s="2" t="s">
        <v>541</v>
      </c>
      <c r="AU20" s="2" t="s">
        <v>542</v>
      </c>
      <c r="AV20" s="2" t="s">
        <v>543</v>
      </c>
      <c r="AW20" s="2" t="s">
        <v>544</v>
      </c>
      <c r="AX20" s="2" t="s">
        <v>545</v>
      </c>
      <c r="AY20" s="2" t="s">
        <v>487</v>
      </c>
      <c r="AZ20" s="2" t="s">
        <v>149</v>
      </c>
      <c r="BA20" s="2" t="s">
        <v>546</v>
      </c>
      <c r="BB20" s="2" t="s">
        <v>547</v>
      </c>
      <c r="BC20" s="2" t="s">
        <v>147</v>
      </c>
      <c r="BD20" s="2" t="s">
        <v>548</v>
      </c>
      <c r="BE20" s="2" t="s">
        <v>549</v>
      </c>
      <c r="BF20" s="2" t="s">
        <v>159</v>
      </c>
      <c r="BG20" s="2" t="s">
        <v>550</v>
      </c>
      <c r="BH20" s="2" t="s">
        <v>411</v>
      </c>
      <c r="BI20" s="2" t="s">
        <v>409</v>
      </c>
      <c r="BJ20" s="2" t="s">
        <v>551</v>
      </c>
    </row>
    <row r="21" spans="1:62" x14ac:dyDescent="0.35">
      <c r="A21" s="1" t="s">
        <v>552</v>
      </c>
      <c r="B21" s="1" t="s">
        <v>63</v>
      </c>
      <c r="C21" s="1" t="s">
        <v>553</v>
      </c>
      <c r="D21" s="1" t="s">
        <v>347</v>
      </c>
      <c r="E21" s="1" t="s">
        <v>392</v>
      </c>
      <c r="F21" s="1" t="s">
        <v>554</v>
      </c>
      <c r="G21" s="1" t="s">
        <v>555</v>
      </c>
      <c r="H21" s="1" t="s">
        <v>509</v>
      </c>
      <c r="I21" s="1" t="s">
        <v>482</v>
      </c>
      <c r="J21" s="1" t="s">
        <v>135</v>
      </c>
      <c r="K21" s="1" t="s">
        <v>350</v>
      </c>
      <c r="L21" s="1" t="s">
        <v>286</v>
      </c>
      <c r="M21" s="1" t="s">
        <v>556</v>
      </c>
      <c r="N21" s="1" t="s">
        <v>557</v>
      </c>
      <c r="O21" s="1" t="s">
        <v>294</v>
      </c>
      <c r="P21" s="1" t="s">
        <v>558</v>
      </c>
      <c r="Q21" s="1" t="s">
        <v>559</v>
      </c>
      <c r="R21" s="1" t="s">
        <v>560</v>
      </c>
      <c r="S21" s="1" t="s">
        <v>256</v>
      </c>
      <c r="T21" s="1" t="s">
        <v>270</v>
      </c>
      <c r="U21" s="1" t="s">
        <v>249</v>
      </c>
      <c r="V21" s="1" t="s">
        <v>520</v>
      </c>
      <c r="W21" s="1" t="s">
        <v>561</v>
      </c>
      <c r="X21" s="1" t="s">
        <v>360</v>
      </c>
      <c r="Y21" s="1" t="s">
        <v>562</v>
      </c>
      <c r="Z21" s="1" t="s">
        <v>154</v>
      </c>
      <c r="AA21" s="1" t="s">
        <v>563</v>
      </c>
      <c r="AB21" s="1" t="s">
        <v>522</v>
      </c>
      <c r="AC21" s="1" t="s">
        <v>564</v>
      </c>
      <c r="AD21" s="1" t="s">
        <v>565</v>
      </c>
      <c r="AE21" s="1" t="s">
        <v>153</v>
      </c>
      <c r="AF21" s="1" t="s">
        <v>566</v>
      </c>
      <c r="AG21" s="1" t="s">
        <v>148</v>
      </c>
      <c r="AH21" s="1" t="s">
        <v>567</v>
      </c>
      <c r="AI21" s="1" t="s">
        <v>568</v>
      </c>
      <c r="AJ21" s="1" t="s">
        <v>411</v>
      </c>
      <c r="AK21" s="1" t="s">
        <v>569</v>
      </c>
      <c r="AL21" s="1" t="s">
        <v>570</v>
      </c>
      <c r="AM21" s="1" t="s">
        <v>571</v>
      </c>
      <c r="AN21" s="1" t="s">
        <v>572</v>
      </c>
      <c r="AO21" s="1" t="s">
        <v>573</v>
      </c>
      <c r="AP21" s="1" t="s">
        <v>574</v>
      </c>
      <c r="AQ21" s="1" t="s">
        <v>575</v>
      </c>
      <c r="AR21" s="1" t="s">
        <v>366</v>
      </c>
      <c r="AS21" s="1" t="s">
        <v>576</v>
      </c>
      <c r="AT21" s="1" t="s">
        <v>577</v>
      </c>
      <c r="AU21" s="1" t="s">
        <v>578</v>
      </c>
      <c r="AV21" s="1" t="s">
        <v>579</v>
      </c>
      <c r="AW21" s="1" t="s">
        <v>157</v>
      </c>
      <c r="AX21" s="1" t="s">
        <v>356</v>
      </c>
      <c r="AY21" s="1" t="s">
        <v>580</v>
      </c>
      <c r="AZ21" s="1" t="s">
        <v>581</v>
      </c>
      <c r="BA21" s="1" t="s">
        <v>300</v>
      </c>
      <c r="BB21" s="1" t="s">
        <v>582</v>
      </c>
      <c r="BC21" s="1" t="s">
        <v>159</v>
      </c>
      <c r="BD21" s="1" t="s">
        <v>583</v>
      </c>
      <c r="BE21" s="1" t="s">
        <v>584</v>
      </c>
      <c r="BF21" s="1" t="s">
        <v>585</v>
      </c>
      <c r="BG21" s="1" t="s">
        <v>325</v>
      </c>
      <c r="BH21" s="1" t="s">
        <v>572</v>
      </c>
      <c r="BI21" s="1" t="s">
        <v>586</v>
      </c>
      <c r="BJ21" s="1" t="s">
        <v>587</v>
      </c>
    </row>
    <row r="22" spans="1:62" s="8" customFormat="1" x14ac:dyDescent="0.35">
      <c r="A22" s="2" t="s">
        <v>588</v>
      </c>
      <c r="B22" s="2" t="s">
        <v>63</v>
      </c>
      <c r="C22" s="2" t="s">
        <v>589</v>
      </c>
      <c r="D22" s="9" t="s">
        <v>174</v>
      </c>
      <c r="E22" s="9" t="s">
        <v>174</v>
      </c>
      <c r="F22" s="9" t="s">
        <v>174</v>
      </c>
      <c r="G22" s="9" t="s">
        <v>174</v>
      </c>
      <c r="H22" s="9" t="s">
        <v>174</v>
      </c>
      <c r="I22" s="9" t="s">
        <v>174</v>
      </c>
      <c r="J22" s="2" t="s">
        <v>590</v>
      </c>
      <c r="K22" s="2" t="s">
        <v>198</v>
      </c>
      <c r="L22" s="2" t="s">
        <v>471</v>
      </c>
      <c r="M22" s="2" t="s">
        <v>591</v>
      </c>
      <c r="N22" s="2" t="s">
        <v>591</v>
      </c>
      <c r="O22" s="2" t="s">
        <v>202</v>
      </c>
      <c r="P22" s="2" t="s">
        <v>205</v>
      </c>
      <c r="Q22" s="2" t="s">
        <v>204</v>
      </c>
      <c r="R22" s="2" t="s">
        <v>276</v>
      </c>
      <c r="S22" s="2" t="s">
        <v>592</v>
      </c>
      <c r="T22" s="2" t="s">
        <v>593</v>
      </c>
      <c r="U22" s="2" t="s">
        <v>206</v>
      </c>
      <c r="V22" s="2" t="s">
        <v>208</v>
      </c>
      <c r="W22" s="2" t="s">
        <v>473</v>
      </c>
      <c r="X22" s="2" t="s">
        <v>594</v>
      </c>
      <c r="Y22" s="2" t="s">
        <v>595</v>
      </c>
      <c r="Z22" s="2" t="s">
        <v>278</v>
      </c>
      <c r="AA22" s="2" t="s">
        <v>596</v>
      </c>
      <c r="AB22" s="2" t="s">
        <v>335</v>
      </c>
      <c r="AC22" s="2" t="s">
        <v>212</v>
      </c>
      <c r="AD22" s="2" t="s">
        <v>210</v>
      </c>
      <c r="AE22" s="2" t="s">
        <v>597</v>
      </c>
      <c r="AF22" s="2" t="s">
        <v>598</v>
      </c>
      <c r="AG22" s="2" t="s">
        <v>599</v>
      </c>
      <c r="AH22" s="2" t="s">
        <v>598</v>
      </c>
      <c r="AI22" s="2" t="s">
        <v>600</v>
      </c>
      <c r="AJ22" s="2" t="s">
        <v>601</v>
      </c>
      <c r="AK22" s="2" t="s">
        <v>476</v>
      </c>
      <c r="AL22" s="2" t="s">
        <v>214</v>
      </c>
      <c r="AM22" s="2" t="s">
        <v>478</v>
      </c>
      <c r="AN22" s="2" t="s">
        <v>337</v>
      </c>
      <c r="AO22" s="2" t="s">
        <v>602</v>
      </c>
      <c r="AP22" s="2" t="s">
        <v>603</v>
      </c>
      <c r="AQ22" s="2" t="s">
        <v>97</v>
      </c>
      <c r="AR22" s="2" t="s">
        <v>604</v>
      </c>
      <c r="AS22" s="2" t="s">
        <v>605</v>
      </c>
      <c r="AT22" s="2" t="s">
        <v>606</v>
      </c>
      <c r="AU22" s="2" t="s">
        <v>428</v>
      </c>
      <c r="AV22" s="2" t="s">
        <v>98</v>
      </c>
      <c r="AW22" s="2" t="s">
        <v>607</v>
      </c>
      <c r="AX22" s="2" t="s">
        <v>429</v>
      </c>
      <c r="AY22" s="2" t="s">
        <v>608</v>
      </c>
      <c r="AZ22" s="2" t="s">
        <v>609</v>
      </c>
      <c r="BA22" s="2" t="s">
        <v>220</v>
      </c>
      <c r="BB22" s="2" t="s">
        <v>610</v>
      </c>
      <c r="BC22" s="2" t="s">
        <v>611</v>
      </c>
      <c r="BD22" s="2" t="s">
        <v>612</v>
      </c>
      <c r="BE22" s="2" t="s">
        <v>105</v>
      </c>
      <c r="BF22" s="2" t="s">
        <v>431</v>
      </c>
      <c r="BG22" s="2" t="s">
        <v>108</v>
      </c>
      <c r="BH22" s="2" t="s">
        <v>343</v>
      </c>
      <c r="BI22" s="2" t="s">
        <v>613</v>
      </c>
      <c r="BJ22" s="2" t="s">
        <v>433</v>
      </c>
    </row>
  </sheetData>
  <hyperlinks>
    <hyperlink ref="C3" r:id="rId1" xr:uid="{3E115B39-5DB7-4B08-80E2-B90E417DA9A1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86E9-9FE5-43AF-B6E0-A2810CD94EF2}">
  <dimension ref="A1:Y60"/>
  <sheetViews>
    <sheetView topLeftCell="H1" zoomScaleNormal="100" workbookViewId="0">
      <selection activeCell="O28" sqref="O28"/>
    </sheetView>
  </sheetViews>
  <sheetFormatPr baseColWidth="10" defaultRowHeight="14.5" x14ac:dyDescent="0.35"/>
  <cols>
    <col min="1" max="1" width="10.90625" style="22"/>
    <col min="2" max="2" width="8.1796875" style="22" customWidth="1"/>
    <col min="3" max="3" width="12" customWidth="1"/>
    <col min="4" max="4" width="11.6328125" customWidth="1"/>
    <col min="6" max="6" width="17.453125" customWidth="1"/>
    <col min="8" max="8" width="16" customWidth="1"/>
    <col min="10" max="10" width="17.08984375" customWidth="1"/>
    <col min="12" max="12" width="13" customWidth="1"/>
    <col min="14" max="14" width="23.7265625" customWidth="1"/>
    <col min="15" max="15" width="17.36328125" customWidth="1"/>
    <col min="16" max="16" width="19.54296875" customWidth="1"/>
    <col min="17" max="17" width="22.90625" customWidth="1"/>
    <col min="18" max="18" width="11.453125" customWidth="1"/>
    <col min="22" max="22" width="15.26953125" customWidth="1"/>
  </cols>
  <sheetData>
    <row r="1" spans="1:25" s="19" customFormat="1" x14ac:dyDescent="0.35">
      <c r="A1" s="31" t="s">
        <v>1088</v>
      </c>
      <c r="B1" s="23" t="s">
        <v>616</v>
      </c>
      <c r="C1" s="23" t="s">
        <v>619</v>
      </c>
      <c r="D1" s="23" t="s">
        <v>618</v>
      </c>
      <c r="E1" s="25" t="s">
        <v>62</v>
      </c>
      <c r="F1" s="26" t="s">
        <v>65</v>
      </c>
      <c r="G1" s="25" t="s">
        <v>68</v>
      </c>
      <c r="H1" s="26" t="s">
        <v>70</v>
      </c>
      <c r="I1" s="25" t="s">
        <v>72</v>
      </c>
      <c r="J1" s="26" t="s">
        <v>74</v>
      </c>
      <c r="K1" s="25" t="s">
        <v>91</v>
      </c>
      <c r="L1" s="27" t="s">
        <v>150</v>
      </c>
      <c r="M1" s="28" t="s">
        <v>175</v>
      </c>
      <c r="N1" s="26" t="s">
        <v>221</v>
      </c>
      <c r="O1" s="25" t="s">
        <v>273</v>
      </c>
      <c r="P1" s="26" t="s">
        <v>321</v>
      </c>
      <c r="Q1" s="25" t="s">
        <v>329</v>
      </c>
      <c r="R1" s="26" t="s">
        <v>373</v>
      </c>
      <c r="S1" s="25" t="s">
        <v>420</v>
      </c>
      <c r="T1" s="26" t="s">
        <v>423</v>
      </c>
      <c r="U1" s="25" t="s">
        <v>459</v>
      </c>
      <c r="V1" s="26" t="s">
        <v>483</v>
      </c>
      <c r="W1" s="25" t="s">
        <v>523</v>
      </c>
      <c r="X1" s="26" t="s">
        <v>552</v>
      </c>
      <c r="Y1" s="28" t="s">
        <v>588</v>
      </c>
    </row>
    <row r="2" spans="1:25" x14ac:dyDescent="0.35">
      <c r="A2" s="31" t="s">
        <v>1089</v>
      </c>
      <c r="B2" s="20" t="s">
        <v>3</v>
      </c>
      <c r="C2" s="13" t="str">
        <f>LEFT(Tabla6[[#This Row],[Periodo]],2)</f>
        <v>Q1</v>
      </c>
      <c r="D2" s="13" t="str">
        <f>RIGHT(Tabla6[[#This Row],[Periodo]],5)</f>
        <v xml:space="preserve"> 2005</v>
      </c>
      <c r="E2" s="37">
        <v>5.383</v>
      </c>
      <c r="F2" s="35">
        <v>2.5310000000000001</v>
      </c>
      <c r="G2" s="37">
        <v>1.2030000000000001</v>
      </c>
      <c r="H2" s="35">
        <v>1.615</v>
      </c>
      <c r="I2" s="37">
        <v>2.383</v>
      </c>
      <c r="J2" s="35">
        <v>829</v>
      </c>
      <c r="K2" s="37">
        <v>108</v>
      </c>
      <c r="L2" s="38">
        <v>625</v>
      </c>
      <c r="M2" s="39" t="s">
        <v>174</v>
      </c>
      <c r="N2" s="35">
        <v>299</v>
      </c>
      <c r="O2" s="37" t="s">
        <v>174</v>
      </c>
      <c r="P2" s="35">
        <v>559</v>
      </c>
      <c r="Q2" s="37">
        <v>42</v>
      </c>
      <c r="R2" s="35">
        <v>249</v>
      </c>
      <c r="S2" s="37">
        <v>1.609</v>
      </c>
      <c r="T2" s="35">
        <v>152</v>
      </c>
      <c r="U2" s="39" t="s">
        <v>174</v>
      </c>
      <c r="V2" s="35">
        <v>624</v>
      </c>
      <c r="W2" s="37">
        <v>288</v>
      </c>
      <c r="X2" s="35">
        <v>351</v>
      </c>
      <c r="Y2" s="39" t="s">
        <v>174</v>
      </c>
    </row>
    <row r="3" spans="1:25" x14ac:dyDescent="0.35">
      <c r="A3" s="20" t="s">
        <v>1090</v>
      </c>
      <c r="B3" s="20" t="s">
        <v>4</v>
      </c>
      <c r="C3" s="13" t="str">
        <f>LEFT(Tabla6[[#This Row],[Periodo]],2)</f>
        <v>Q2</v>
      </c>
      <c r="D3" s="13" t="str">
        <f>RIGHT(Tabla6[[#This Row],[Periodo]],5)</f>
        <v xml:space="preserve"> 2005</v>
      </c>
      <c r="E3" s="37">
        <v>5.524</v>
      </c>
      <c r="F3" s="35">
        <v>2.778</v>
      </c>
      <c r="G3" s="37">
        <v>1.2190000000000001</v>
      </c>
      <c r="H3" s="35">
        <v>1.617</v>
      </c>
      <c r="I3" s="37">
        <v>2.577</v>
      </c>
      <c r="J3" s="35">
        <v>847</v>
      </c>
      <c r="K3" s="37">
        <v>125</v>
      </c>
      <c r="L3" s="38">
        <v>652</v>
      </c>
      <c r="M3" s="39" t="s">
        <v>174</v>
      </c>
      <c r="N3" s="35">
        <v>291</v>
      </c>
      <c r="O3" s="37">
        <v>69</v>
      </c>
      <c r="P3" s="35">
        <v>654</v>
      </c>
      <c r="Q3" s="37">
        <v>53</v>
      </c>
      <c r="R3" s="35">
        <v>258</v>
      </c>
      <c r="S3" s="37">
        <v>1.67</v>
      </c>
      <c r="T3" s="35">
        <v>161</v>
      </c>
      <c r="U3" s="39" t="s">
        <v>174</v>
      </c>
      <c r="V3" s="35">
        <v>657</v>
      </c>
      <c r="W3" s="37">
        <v>268</v>
      </c>
      <c r="X3" s="35">
        <v>347</v>
      </c>
      <c r="Y3" s="39" t="s">
        <v>174</v>
      </c>
    </row>
    <row r="4" spans="1:25" x14ac:dyDescent="0.35">
      <c r="A4" s="31" t="s">
        <v>1091</v>
      </c>
      <c r="B4" s="20" t="s">
        <v>5</v>
      </c>
      <c r="C4" s="13" t="str">
        <f>LEFT(Tabla6[[#This Row],[Periodo]],2)</f>
        <v>Q3</v>
      </c>
      <c r="D4" s="13" t="str">
        <f>RIGHT(Tabla6[[#This Row],[Periodo]],5)</f>
        <v xml:space="preserve"> 2005</v>
      </c>
      <c r="E4" s="37">
        <v>5.3840000000000003</v>
      </c>
      <c r="F4" s="35">
        <v>2.69</v>
      </c>
      <c r="G4" s="37">
        <v>1.1719999999999999</v>
      </c>
      <c r="H4" s="35">
        <v>1.5109999999999999</v>
      </c>
      <c r="I4" s="37">
        <v>2.3980000000000001</v>
      </c>
      <c r="J4" s="35">
        <v>763</v>
      </c>
      <c r="K4" s="37">
        <v>127</v>
      </c>
      <c r="L4" s="38">
        <v>609</v>
      </c>
      <c r="M4" s="39" t="s">
        <v>174</v>
      </c>
      <c r="N4" s="35">
        <v>283</v>
      </c>
      <c r="O4" s="37">
        <v>74</v>
      </c>
      <c r="P4" s="35">
        <v>679</v>
      </c>
      <c r="Q4" s="37">
        <v>61</v>
      </c>
      <c r="R4" s="35">
        <v>241</v>
      </c>
      <c r="S4" s="37">
        <v>1.7170000000000001</v>
      </c>
      <c r="T4" s="35">
        <v>158</v>
      </c>
      <c r="U4" s="39" t="s">
        <v>174</v>
      </c>
      <c r="V4" s="35">
        <v>587</v>
      </c>
      <c r="W4" s="37">
        <v>273</v>
      </c>
      <c r="X4" s="35">
        <v>386</v>
      </c>
      <c r="Y4" s="39" t="s">
        <v>174</v>
      </c>
    </row>
    <row r="5" spans="1:25" x14ac:dyDescent="0.35">
      <c r="A5" s="20" t="s">
        <v>1092</v>
      </c>
      <c r="B5" s="20" t="s">
        <v>6</v>
      </c>
      <c r="C5" s="13" t="str">
        <f>LEFT(Tabla6[[#This Row],[Periodo]],2)</f>
        <v>Q4</v>
      </c>
      <c r="D5" s="13" t="str">
        <f>RIGHT(Tabla6[[#This Row],[Periodo]],5)</f>
        <v xml:space="preserve"> 2005</v>
      </c>
      <c r="E5" s="37">
        <v>6.0469999999999997</v>
      </c>
      <c r="F5" s="35">
        <v>2.7650000000000001</v>
      </c>
      <c r="G5" s="37">
        <v>1.016</v>
      </c>
      <c r="H5" s="35">
        <v>1.54</v>
      </c>
      <c r="I5" s="37">
        <v>2.4910000000000001</v>
      </c>
      <c r="J5" s="35">
        <v>848</v>
      </c>
      <c r="K5" s="37">
        <v>146</v>
      </c>
      <c r="L5" s="38">
        <v>673</v>
      </c>
      <c r="M5" s="39" t="s">
        <v>174</v>
      </c>
      <c r="N5" s="35">
        <v>307</v>
      </c>
      <c r="O5" s="37">
        <v>78</v>
      </c>
      <c r="P5" s="35">
        <v>741</v>
      </c>
      <c r="Q5" s="37">
        <v>72</v>
      </c>
      <c r="R5" s="35">
        <v>250</v>
      </c>
      <c r="S5" s="37">
        <v>1.772</v>
      </c>
      <c r="T5" s="35">
        <v>167</v>
      </c>
      <c r="U5" s="39" t="s">
        <v>174</v>
      </c>
      <c r="V5" s="35">
        <v>647</v>
      </c>
      <c r="W5" s="37">
        <v>287</v>
      </c>
      <c r="X5" s="35">
        <v>334</v>
      </c>
      <c r="Y5" s="39" t="s">
        <v>174</v>
      </c>
    </row>
    <row r="6" spans="1:25" x14ac:dyDescent="0.35">
      <c r="A6" s="31" t="s">
        <v>1093</v>
      </c>
      <c r="B6" s="20" t="s">
        <v>7</v>
      </c>
      <c r="C6" s="13" t="str">
        <f>LEFT(Tabla6[[#This Row],[Periodo]],2)</f>
        <v>Q1</v>
      </c>
      <c r="D6" s="13" t="str">
        <f>RIGHT(Tabla6[[#This Row],[Periodo]],5)</f>
        <v xml:space="preserve"> 2006</v>
      </c>
      <c r="E6" s="37">
        <v>4.58</v>
      </c>
      <c r="F6" s="35">
        <v>2.77</v>
      </c>
      <c r="G6" s="37">
        <v>1.321</v>
      </c>
      <c r="H6" s="35">
        <v>1.62</v>
      </c>
      <c r="I6" s="37">
        <v>2.4089999999999998</v>
      </c>
      <c r="J6" s="35">
        <v>860</v>
      </c>
      <c r="K6" s="37">
        <v>162</v>
      </c>
      <c r="L6" s="38">
        <v>643</v>
      </c>
      <c r="M6" s="39">
        <v>0</v>
      </c>
      <c r="N6" s="35">
        <v>308</v>
      </c>
      <c r="O6" s="37">
        <v>88</v>
      </c>
      <c r="P6" s="35">
        <v>684</v>
      </c>
      <c r="Q6" s="37">
        <v>77</v>
      </c>
      <c r="R6" s="35">
        <v>257</v>
      </c>
      <c r="S6" s="37">
        <v>1.75</v>
      </c>
      <c r="T6" s="35">
        <v>168</v>
      </c>
      <c r="U6" s="39" t="s">
        <v>174</v>
      </c>
      <c r="V6" s="35">
        <v>600</v>
      </c>
      <c r="W6" s="37">
        <v>331</v>
      </c>
      <c r="X6" s="35">
        <v>414</v>
      </c>
      <c r="Y6" s="39" t="s">
        <v>174</v>
      </c>
    </row>
    <row r="7" spans="1:25" x14ac:dyDescent="0.35">
      <c r="A7" s="20" t="s">
        <v>1094</v>
      </c>
      <c r="B7" s="20" t="s">
        <v>8</v>
      </c>
      <c r="C7" s="13" t="str">
        <f>LEFT(Tabla6[[#This Row],[Periodo]],2)</f>
        <v>Q2</v>
      </c>
      <c r="D7" s="13" t="str">
        <f>RIGHT(Tabla6[[#This Row],[Periodo]],5)</f>
        <v xml:space="preserve"> 2006</v>
      </c>
      <c r="E7" s="37">
        <v>5.5010000000000003</v>
      </c>
      <c r="F7" s="35">
        <v>3.0670000000000002</v>
      </c>
      <c r="G7" s="37">
        <v>1.262</v>
      </c>
      <c r="H7" s="35">
        <v>2.11</v>
      </c>
      <c r="I7" s="37">
        <v>2.649</v>
      </c>
      <c r="J7" s="35">
        <v>882</v>
      </c>
      <c r="K7" s="37">
        <v>171</v>
      </c>
      <c r="L7" s="38">
        <v>686</v>
      </c>
      <c r="M7" s="40">
        <v>1</v>
      </c>
      <c r="N7" s="35">
        <v>318</v>
      </c>
      <c r="O7" s="37">
        <v>101</v>
      </c>
      <c r="P7" s="35">
        <v>714</v>
      </c>
      <c r="Q7" s="37">
        <v>87</v>
      </c>
      <c r="R7" s="35">
        <v>267</v>
      </c>
      <c r="S7" s="37">
        <v>2.165</v>
      </c>
      <c r="T7" s="35">
        <v>191</v>
      </c>
      <c r="U7" s="39" t="s">
        <v>174</v>
      </c>
      <c r="V7" s="35">
        <v>650</v>
      </c>
      <c r="W7" s="37">
        <v>265</v>
      </c>
      <c r="X7" s="35">
        <v>396</v>
      </c>
      <c r="Y7" s="39" t="s">
        <v>174</v>
      </c>
    </row>
    <row r="8" spans="1:25" x14ac:dyDescent="0.35">
      <c r="A8" s="31" t="s">
        <v>1095</v>
      </c>
      <c r="B8" s="20" t="s">
        <v>9</v>
      </c>
      <c r="C8" s="13" t="str">
        <f>LEFT(Tabla6[[#This Row],[Periodo]],2)</f>
        <v>Q3</v>
      </c>
      <c r="D8" s="13" t="str">
        <f>RIGHT(Tabla6[[#This Row],[Periodo]],5)</f>
        <v xml:space="preserve"> 2006</v>
      </c>
      <c r="E8" s="37">
        <v>5.5739999999999998</v>
      </c>
      <c r="F8" s="35">
        <v>2.8969999999999998</v>
      </c>
      <c r="G8" s="37">
        <v>1.2310000000000001</v>
      </c>
      <c r="H8" s="35">
        <v>2.0259999999999998</v>
      </c>
      <c r="I8" s="37">
        <v>2.5569999999999999</v>
      </c>
      <c r="J8" s="35">
        <v>820</v>
      </c>
      <c r="K8" s="37">
        <v>164</v>
      </c>
      <c r="L8" s="38">
        <v>679</v>
      </c>
      <c r="M8" s="40">
        <v>1</v>
      </c>
      <c r="N8" s="35">
        <v>305</v>
      </c>
      <c r="O8" s="37">
        <v>120</v>
      </c>
      <c r="P8" s="35">
        <v>725</v>
      </c>
      <c r="Q8" s="37">
        <v>96</v>
      </c>
      <c r="R8" s="35">
        <v>247</v>
      </c>
      <c r="S8" s="37">
        <v>2.234</v>
      </c>
      <c r="T8" s="35">
        <v>187</v>
      </c>
      <c r="U8" s="37">
        <v>1</v>
      </c>
      <c r="V8" s="35">
        <v>606</v>
      </c>
      <c r="W8" s="37">
        <v>284</v>
      </c>
      <c r="X8" s="35">
        <v>454</v>
      </c>
      <c r="Y8" s="40">
        <v>56</v>
      </c>
    </row>
    <row r="9" spans="1:25" x14ac:dyDescent="0.35">
      <c r="A9" s="20" t="s">
        <v>1096</v>
      </c>
      <c r="B9" s="20" t="s">
        <v>10</v>
      </c>
      <c r="C9" s="13" t="str">
        <f>LEFT(Tabla6[[#This Row],[Periodo]],2)</f>
        <v>Q4</v>
      </c>
      <c r="D9" s="13" t="str">
        <f>RIGHT(Tabla6[[#This Row],[Periodo]],5)</f>
        <v xml:space="preserve"> 2006</v>
      </c>
      <c r="E9" s="37">
        <v>6.8209999999999997</v>
      </c>
      <c r="F9" s="35">
        <v>3.0750000000000002</v>
      </c>
      <c r="G9" s="37">
        <v>1.333</v>
      </c>
      <c r="H9" s="35">
        <v>2.0649999999999999</v>
      </c>
      <c r="I9" s="37">
        <v>2.7629999999999999</v>
      </c>
      <c r="J9" s="35">
        <v>934</v>
      </c>
      <c r="K9" s="37">
        <v>178</v>
      </c>
      <c r="L9" s="38">
        <v>771</v>
      </c>
      <c r="M9" s="40">
        <v>2</v>
      </c>
      <c r="N9" s="35">
        <v>343</v>
      </c>
      <c r="O9" s="37">
        <v>154</v>
      </c>
      <c r="P9" s="35">
        <v>1.669</v>
      </c>
      <c r="Q9" s="37">
        <v>113</v>
      </c>
      <c r="R9" s="35">
        <v>266</v>
      </c>
      <c r="S9" s="37">
        <v>2.3519999999999999</v>
      </c>
      <c r="T9" s="35">
        <v>192</v>
      </c>
      <c r="U9" s="37">
        <v>1</v>
      </c>
      <c r="V9" s="35">
        <v>449</v>
      </c>
      <c r="W9" s="37">
        <v>299</v>
      </c>
      <c r="X9" s="35">
        <v>388</v>
      </c>
      <c r="Y9" s="40">
        <v>58</v>
      </c>
    </row>
    <row r="10" spans="1:25" x14ac:dyDescent="0.35">
      <c r="A10" s="31" t="s">
        <v>1097</v>
      </c>
      <c r="B10" s="20" t="s">
        <v>11</v>
      </c>
      <c r="C10" s="13" t="str">
        <f>LEFT(Tabla6[[#This Row],[Periodo]],2)</f>
        <v>Q1</v>
      </c>
      <c r="D10" s="13" t="str">
        <f>RIGHT(Tabla6[[#This Row],[Periodo]],5)</f>
        <v xml:space="preserve"> 2007</v>
      </c>
      <c r="E10" s="37">
        <v>5.9459999999999997</v>
      </c>
      <c r="F10" s="35">
        <v>3.048</v>
      </c>
      <c r="G10" s="37">
        <v>1.4259999999999999</v>
      </c>
      <c r="H10" s="35">
        <v>2.0859999999999999</v>
      </c>
      <c r="I10" s="37">
        <v>2.6749999999999998</v>
      </c>
      <c r="J10" s="35">
        <v>950</v>
      </c>
      <c r="K10" s="37">
        <v>183</v>
      </c>
      <c r="L10" s="38">
        <v>744</v>
      </c>
      <c r="M10" s="40">
        <v>2</v>
      </c>
      <c r="N10" s="35">
        <v>323</v>
      </c>
      <c r="O10" s="37">
        <v>163</v>
      </c>
      <c r="P10" s="35">
        <v>2.3380000000000001</v>
      </c>
      <c r="Q10" s="37">
        <v>114</v>
      </c>
      <c r="R10" s="35">
        <v>264</v>
      </c>
      <c r="S10" s="37">
        <v>2.3210000000000002</v>
      </c>
      <c r="T10" s="35">
        <v>211</v>
      </c>
      <c r="U10" s="37">
        <v>1</v>
      </c>
      <c r="V10" s="35">
        <v>440</v>
      </c>
      <c r="W10" s="37">
        <v>350</v>
      </c>
      <c r="X10" s="35">
        <v>443</v>
      </c>
      <c r="Y10" s="40">
        <v>59</v>
      </c>
    </row>
    <row r="11" spans="1:25" x14ac:dyDescent="0.35">
      <c r="A11" s="20" t="s">
        <v>1098</v>
      </c>
      <c r="B11" s="20" t="s">
        <v>12</v>
      </c>
      <c r="C11" s="13" t="str">
        <f>LEFT(Tabla6[[#This Row],[Periodo]],2)</f>
        <v>Q2</v>
      </c>
      <c r="D11" s="13" t="str">
        <f>RIGHT(Tabla6[[#This Row],[Periodo]],5)</f>
        <v xml:space="preserve"> 2007</v>
      </c>
      <c r="E11" s="37">
        <v>6.3710000000000004</v>
      </c>
      <c r="F11" s="35">
        <v>3.2789999999999999</v>
      </c>
      <c r="G11" s="37">
        <v>1.464</v>
      </c>
      <c r="H11" s="35">
        <v>2.0710000000000002</v>
      </c>
      <c r="I11" s="37">
        <v>2.8290000000000002</v>
      </c>
      <c r="J11" s="35">
        <v>971</v>
      </c>
      <c r="K11" s="37">
        <v>191</v>
      </c>
      <c r="L11" s="38">
        <v>813</v>
      </c>
      <c r="M11" s="40">
        <v>3</v>
      </c>
      <c r="N11" s="35">
        <v>339</v>
      </c>
      <c r="O11" s="37">
        <v>181</v>
      </c>
      <c r="P11" s="35">
        <v>2.3860000000000001</v>
      </c>
      <c r="Q11" s="37">
        <v>140</v>
      </c>
      <c r="R11" s="35">
        <v>273</v>
      </c>
      <c r="S11" s="37">
        <v>2.4039999999999999</v>
      </c>
      <c r="T11" s="35">
        <v>237</v>
      </c>
      <c r="U11" s="37">
        <v>1</v>
      </c>
      <c r="V11" s="35">
        <v>452</v>
      </c>
      <c r="W11" s="37">
        <v>281</v>
      </c>
      <c r="X11" s="35">
        <v>424</v>
      </c>
      <c r="Y11" s="40">
        <v>64</v>
      </c>
    </row>
    <row r="12" spans="1:25" x14ac:dyDescent="0.35">
      <c r="A12" s="31" t="s">
        <v>1099</v>
      </c>
      <c r="B12" s="20" t="s">
        <v>13</v>
      </c>
      <c r="C12" s="13" t="str">
        <f>LEFT(Tabla6[[#This Row],[Periodo]],2)</f>
        <v>Q3</v>
      </c>
      <c r="D12" s="13" t="str">
        <f>RIGHT(Tabla6[[#This Row],[Periodo]],5)</f>
        <v xml:space="preserve"> 2007</v>
      </c>
      <c r="E12" s="37">
        <v>6.3769999999999998</v>
      </c>
      <c r="F12" s="35">
        <v>3.1269999999999998</v>
      </c>
      <c r="G12" s="37">
        <v>1.4530000000000001</v>
      </c>
      <c r="H12" s="35">
        <v>2.048</v>
      </c>
      <c r="I12" s="37">
        <v>2.75</v>
      </c>
      <c r="J12" s="35">
        <v>903</v>
      </c>
      <c r="K12" s="37">
        <v>186</v>
      </c>
      <c r="L12" s="38">
        <v>845</v>
      </c>
      <c r="M12" s="40">
        <v>4</v>
      </c>
      <c r="N12" s="35">
        <v>340</v>
      </c>
      <c r="O12" s="37">
        <v>192</v>
      </c>
      <c r="P12" s="35">
        <v>2.4009999999999998</v>
      </c>
      <c r="Q12" s="37">
        <v>157</v>
      </c>
      <c r="R12" s="35">
        <v>261</v>
      </c>
      <c r="S12" s="37">
        <v>2.4260000000000002</v>
      </c>
      <c r="T12" s="35">
        <v>229</v>
      </c>
      <c r="U12" s="37">
        <v>1</v>
      </c>
      <c r="V12" s="35">
        <v>459</v>
      </c>
      <c r="W12" s="37">
        <v>295</v>
      </c>
      <c r="X12" s="35">
        <v>501</v>
      </c>
      <c r="Y12" s="40">
        <v>64</v>
      </c>
    </row>
    <row r="13" spans="1:25" x14ac:dyDescent="0.35">
      <c r="A13" s="20" t="s">
        <v>1100</v>
      </c>
      <c r="B13" s="20" t="s">
        <v>14</v>
      </c>
      <c r="C13" s="13" t="str">
        <f>LEFT(Tabla6[[#This Row],[Periodo]],2)</f>
        <v>Q4</v>
      </c>
      <c r="D13" s="13" t="str">
        <f>RIGHT(Tabla6[[#This Row],[Periodo]],5)</f>
        <v xml:space="preserve"> 2007</v>
      </c>
      <c r="E13" s="37">
        <v>7.2210000000000001</v>
      </c>
      <c r="F13" s="35">
        <v>3.1240000000000001</v>
      </c>
      <c r="G13" s="37">
        <v>1.6579999999999999</v>
      </c>
      <c r="H13" s="35">
        <v>2.1520000000000001</v>
      </c>
      <c r="I13" s="37">
        <v>3.0089999999999999</v>
      </c>
      <c r="J13" s="35">
        <v>1.0740000000000001</v>
      </c>
      <c r="K13" s="37">
        <v>203</v>
      </c>
      <c r="L13" s="38">
        <v>967</v>
      </c>
      <c r="M13" s="40">
        <v>4</v>
      </c>
      <c r="N13" s="35">
        <v>460</v>
      </c>
      <c r="O13" s="37">
        <v>203</v>
      </c>
      <c r="P13" s="35">
        <v>2.621</v>
      </c>
      <c r="Q13" s="37">
        <v>189</v>
      </c>
      <c r="R13" s="35">
        <v>293</v>
      </c>
      <c r="S13" s="37">
        <v>2.569</v>
      </c>
      <c r="T13" s="35">
        <v>245</v>
      </c>
      <c r="U13" s="37">
        <v>2</v>
      </c>
      <c r="V13" s="35">
        <v>224</v>
      </c>
      <c r="W13" s="37">
        <v>314</v>
      </c>
      <c r="X13" s="35">
        <v>451</v>
      </c>
      <c r="Y13" s="40">
        <v>69</v>
      </c>
    </row>
    <row r="14" spans="1:25" x14ac:dyDescent="0.35">
      <c r="A14" s="31" t="s">
        <v>1101</v>
      </c>
      <c r="B14" s="20" t="s">
        <v>15</v>
      </c>
      <c r="C14" s="13" t="str">
        <f>LEFT(Tabla6[[#This Row],[Periodo]],2)</f>
        <v>Q1</v>
      </c>
      <c r="D14" s="13" t="str">
        <f>RIGHT(Tabla6[[#This Row],[Periodo]],5)</f>
        <v xml:space="preserve"> 2008</v>
      </c>
      <c r="E14" s="37">
        <v>6.766</v>
      </c>
      <c r="F14" s="35">
        <v>3.4049999999999998</v>
      </c>
      <c r="G14" s="37">
        <v>1.6339999999999999</v>
      </c>
      <c r="H14" s="35">
        <v>2.0459999999999998</v>
      </c>
      <c r="I14" s="37">
        <v>2.8769999999999998</v>
      </c>
      <c r="J14" s="35">
        <v>1.0589999999999999</v>
      </c>
      <c r="K14" s="37">
        <v>212</v>
      </c>
      <c r="L14" s="38">
        <v>911</v>
      </c>
      <c r="M14" s="40">
        <v>7</v>
      </c>
      <c r="N14" s="35">
        <v>422</v>
      </c>
      <c r="O14" s="37">
        <v>371</v>
      </c>
      <c r="P14" s="35">
        <v>2.5539999999999998</v>
      </c>
      <c r="Q14" s="37">
        <v>188</v>
      </c>
      <c r="R14" s="35">
        <v>297</v>
      </c>
      <c r="S14" s="37">
        <v>2.512</v>
      </c>
      <c r="T14" s="35">
        <v>249</v>
      </c>
      <c r="U14" s="37">
        <v>2</v>
      </c>
      <c r="V14" s="35">
        <v>542</v>
      </c>
      <c r="W14" s="37">
        <v>375</v>
      </c>
      <c r="X14" s="35">
        <v>518</v>
      </c>
      <c r="Y14" s="40">
        <v>71</v>
      </c>
    </row>
    <row r="15" spans="1:25" x14ac:dyDescent="0.35">
      <c r="A15" s="20" t="s">
        <v>1102</v>
      </c>
      <c r="B15" s="20" t="s">
        <v>16</v>
      </c>
      <c r="C15" s="13" t="str">
        <f>LEFT(Tabla6[[#This Row],[Periodo]],2)</f>
        <v>Q2</v>
      </c>
      <c r="D15" s="13" t="str">
        <f>RIGHT(Tabla6[[#This Row],[Periodo]],5)</f>
        <v xml:space="preserve"> 2008</v>
      </c>
      <c r="E15" s="37">
        <v>7.3140000000000001</v>
      </c>
      <c r="F15" s="35">
        <v>3.859</v>
      </c>
      <c r="G15" s="37">
        <v>1.7130000000000001</v>
      </c>
      <c r="H15" s="35">
        <v>2.024</v>
      </c>
      <c r="I15" s="37">
        <v>3.1890000000000001</v>
      </c>
      <c r="J15" s="35">
        <v>1.08</v>
      </c>
      <c r="K15" s="37">
        <v>235</v>
      </c>
      <c r="L15" s="38">
        <v>1</v>
      </c>
      <c r="M15" s="40">
        <v>7</v>
      </c>
      <c r="N15" s="35">
        <v>452</v>
      </c>
      <c r="O15" s="37">
        <v>431</v>
      </c>
      <c r="P15" s="35">
        <v>2.71</v>
      </c>
      <c r="Q15" s="37">
        <v>219</v>
      </c>
      <c r="R15" s="35">
        <v>328</v>
      </c>
      <c r="S15" s="37">
        <v>2.665</v>
      </c>
      <c r="T15" s="35">
        <v>281</v>
      </c>
      <c r="U15" s="37">
        <v>2</v>
      </c>
      <c r="V15" s="35">
        <v>560</v>
      </c>
      <c r="W15" s="37">
        <v>312</v>
      </c>
      <c r="X15" s="35">
        <v>507</v>
      </c>
      <c r="Y15" s="40">
        <v>75</v>
      </c>
    </row>
    <row r="16" spans="1:25" x14ac:dyDescent="0.35">
      <c r="A16" s="31" t="s">
        <v>1103</v>
      </c>
      <c r="B16" s="20" t="s">
        <v>17</v>
      </c>
      <c r="C16" s="13" t="str">
        <f>LEFT(Tabla6[[#This Row],[Periodo]],2)</f>
        <v>Q3</v>
      </c>
      <c r="D16" s="13" t="str">
        <f>RIGHT(Tabla6[[#This Row],[Periodo]],5)</f>
        <v xml:space="preserve"> 2008</v>
      </c>
      <c r="E16" s="37">
        <v>7.4980000000000002</v>
      </c>
      <c r="F16" s="35">
        <v>3.706</v>
      </c>
      <c r="G16" s="37">
        <v>1.653</v>
      </c>
      <c r="H16" s="35">
        <v>1.978</v>
      </c>
      <c r="I16" s="37">
        <v>3.1509999999999998</v>
      </c>
      <c r="J16" s="35">
        <v>952</v>
      </c>
      <c r="K16" s="37">
        <v>218</v>
      </c>
      <c r="L16" s="38">
        <v>930</v>
      </c>
      <c r="M16" s="40">
        <v>10</v>
      </c>
      <c r="N16" s="35">
        <v>442</v>
      </c>
      <c r="O16" s="37">
        <v>429</v>
      </c>
      <c r="P16" s="35">
        <v>2.5880000000000001</v>
      </c>
      <c r="Q16" s="37">
        <v>236</v>
      </c>
      <c r="R16" s="35">
        <v>304</v>
      </c>
      <c r="S16" s="37">
        <v>2.7130000000000001</v>
      </c>
      <c r="T16" s="35">
        <v>251</v>
      </c>
      <c r="U16" s="37">
        <v>2</v>
      </c>
      <c r="V16" s="35">
        <v>504</v>
      </c>
      <c r="W16" s="37">
        <v>323</v>
      </c>
      <c r="X16" s="35">
        <v>593</v>
      </c>
      <c r="Y16" s="40">
        <v>78</v>
      </c>
    </row>
    <row r="17" spans="1:25" x14ac:dyDescent="0.35">
      <c r="A17" s="20" t="s">
        <v>1104</v>
      </c>
      <c r="B17" s="20" t="s">
        <v>18</v>
      </c>
      <c r="C17" s="13" t="str">
        <f>LEFT(Tabla6[[#This Row],[Periodo]],2)</f>
        <v>Q4</v>
      </c>
      <c r="D17" s="13" t="str">
        <f>RIGHT(Tabla6[[#This Row],[Periodo]],5)</f>
        <v xml:space="preserve"> 2008</v>
      </c>
      <c r="E17" s="37">
        <v>7.95</v>
      </c>
      <c r="F17" s="35">
        <v>3.57</v>
      </c>
      <c r="G17" s="37">
        <v>1.718</v>
      </c>
      <c r="H17" s="35">
        <v>2.0019999999999998</v>
      </c>
      <c r="I17" s="37">
        <v>3.1309999999999998</v>
      </c>
      <c r="J17" s="35">
        <v>1.03</v>
      </c>
      <c r="K17" s="37">
        <v>223</v>
      </c>
      <c r="L17" s="38">
        <v>960</v>
      </c>
      <c r="M17" s="40">
        <v>12</v>
      </c>
      <c r="N17" s="35">
        <v>448</v>
      </c>
      <c r="O17" s="37">
        <v>443</v>
      </c>
      <c r="P17" s="35">
        <v>2.6459999999999999</v>
      </c>
      <c r="Q17" s="37">
        <v>232</v>
      </c>
      <c r="R17" s="35">
        <v>310</v>
      </c>
      <c r="S17" s="37">
        <v>2.722</v>
      </c>
      <c r="T17" s="35">
        <v>243</v>
      </c>
      <c r="U17" s="37">
        <v>4</v>
      </c>
      <c r="V17" s="35">
        <v>306</v>
      </c>
      <c r="W17" s="37">
        <v>319</v>
      </c>
      <c r="X17" s="35">
        <v>509</v>
      </c>
      <c r="Y17" s="40">
        <v>83</v>
      </c>
    </row>
    <row r="18" spans="1:25" x14ac:dyDescent="0.35">
      <c r="A18" s="31" t="s">
        <v>1105</v>
      </c>
      <c r="B18" s="20" t="s">
        <v>19</v>
      </c>
      <c r="C18" s="13" t="str">
        <f>LEFT(Tabla6[[#This Row],[Periodo]],2)</f>
        <v>Q1</v>
      </c>
      <c r="D18" s="13" t="str">
        <f>RIGHT(Tabla6[[#This Row],[Periodo]],5)</f>
        <v xml:space="preserve"> 2009</v>
      </c>
      <c r="E18" s="37">
        <v>6.718</v>
      </c>
      <c r="F18" s="35">
        <v>3.4940000000000002</v>
      </c>
      <c r="G18" s="37">
        <v>1.601</v>
      </c>
      <c r="H18" s="35">
        <v>2.0099999999999998</v>
      </c>
      <c r="I18" s="37">
        <v>2.8239999999999998</v>
      </c>
      <c r="J18" s="35">
        <v>993</v>
      </c>
      <c r="K18" s="37">
        <v>228</v>
      </c>
      <c r="L18" s="38">
        <v>865</v>
      </c>
      <c r="M18" s="40">
        <v>12</v>
      </c>
      <c r="N18" s="35">
        <v>401</v>
      </c>
      <c r="O18" s="37">
        <v>429</v>
      </c>
      <c r="P18" s="35">
        <v>2.2549999999999999</v>
      </c>
      <c r="Q18" s="37">
        <v>188</v>
      </c>
      <c r="R18" s="35">
        <v>314</v>
      </c>
      <c r="S18" s="37">
        <v>2.56</v>
      </c>
      <c r="T18" s="35">
        <v>236</v>
      </c>
      <c r="U18" s="37">
        <v>5</v>
      </c>
      <c r="V18" s="35">
        <v>440</v>
      </c>
      <c r="W18" s="37">
        <v>344</v>
      </c>
      <c r="X18" s="35">
        <v>554</v>
      </c>
      <c r="Y18" s="40">
        <v>85</v>
      </c>
    </row>
    <row r="19" spans="1:25" x14ac:dyDescent="0.35">
      <c r="A19" s="20" t="s">
        <v>1106</v>
      </c>
      <c r="B19" s="20" t="s">
        <v>20</v>
      </c>
      <c r="C19" s="13" t="str">
        <f>LEFT(Tabla6[[#This Row],[Periodo]],2)</f>
        <v>Q2</v>
      </c>
      <c r="D19" s="13" t="str">
        <f>RIGHT(Tabla6[[#This Row],[Periodo]],5)</f>
        <v xml:space="preserve"> 2009</v>
      </c>
      <c r="E19" s="37">
        <v>7.4950000000000001</v>
      </c>
      <c r="F19" s="35">
        <v>3.8290000000000002</v>
      </c>
      <c r="G19" s="37">
        <v>1.6339999999999999</v>
      </c>
      <c r="H19" s="35">
        <v>2.0739999999999998</v>
      </c>
      <c r="I19" s="37">
        <v>3.1230000000000002</v>
      </c>
      <c r="J19" s="35">
        <v>1.02</v>
      </c>
      <c r="K19" s="37">
        <v>252</v>
      </c>
      <c r="L19" s="38">
        <v>926</v>
      </c>
      <c r="M19" s="40">
        <v>15</v>
      </c>
      <c r="N19" s="35">
        <v>427</v>
      </c>
      <c r="O19" s="37">
        <v>402</v>
      </c>
      <c r="P19" s="35">
        <v>2.484</v>
      </c>
      <c r="Q19" s="37">
        <v>261</v>
      </c>
      <c r="R19" s="35">
        <v>336</v>
      </c>
      <c r="S19" s="37">
        <v>2.7639999999999998</v>
      </c>
      <c r="T19" s="35">
        <v>266</v>
      </c>
      <c r="U19" s="37">
        <v>7</v>
      </c>
      <c r="V19" s="35">
        <v>439</v>
      </c>
      <c r="W19" s="37">
        <v>284</v>
      </c>
      <c r="X19" s="35">
        <v>510</v>
      </c>
      <c r="Y19" s="40">
        <v>84</v>
      </c>
    </row>
    <row r="20" spans="1:25" x14ac:dyDescent="0.35">
      <c r="A20" s="31" t="s">
        <v>1107</v>
      </c>
      <c r="B20" s="20" t="s">
        <v>21</v>
      </c>
      <c r="C20" s="13" t="str">
        <f>LEFT(Tabla6[[#This Row],[Periodo]],2)</f>
        <v>Q3</v>
      </c>
      <c r="D20" s="13" t="str">
        <f>RIGHT(Tabla6[[#This Row],[Periodo]],5)</f>
        <v xml:space="preserve"> 2009</v>
      </c>
      <c r="E20" s="37">
        <v>7.7610000000000001</v>
      </c>
      <c r="F20" s="35">
        <v>3.9329999999999998</v>
      </c>
      <c r="G20" s="37">
        <v>1.653</v>
      </c>
      <c r="H20" s="35">
        <v>2.0249999999999999</v>
      </c>
      <c r="I20" s="37">
        <v>3.145</v>
      </c>
      <c r="J20" s="35">
        <v>976</v>
      </c>
      <c r="K20" s="37">
        <v>247</v>
      </c>
      <c r="L20" s="38">
        <v>915</v>
      </c>
      <c r="M20" s="40">
        <v>19</v>
      </c>
      <c r="N20" s="35">
        <v>461</v>
      </c>
      <c r="O20" s="37">
        <v>403</v>
      </c>
      <c r="P20" s="35">
        <v>2.5310000000000001</v>
      </c>
      <c r="Q20" s="37">
        <v>280</v>
      </c>
      <c r="R20" s="35">
        <v>326</v>
      </c>
      <c r="S20" s="37">
        <v>2.8889999999999998</v>
      </c>
      <c r="T20" s="35">
        <v>259</v>
      </c>
      <c r="U20" s="37">
        <v>7</v>
      </c>
      <c r="V20" s="35">
        <v>441</v>
      </c>
      <c r="W20" s="37">
        <v>314</v>
      </c>
      <c r="X20" s="35">
        <v>642</v>
      </c>
      <c r="Y20" s="40">
        <v>87</v>
      </c>
    </row>
    <row r="21" spans="1:25" x14ac:dyDescent="0.35">
      <c r="A21" s="20" t="s">
        <v>1108</v>
      </c>
      <c r="B21" s="20" t="s">
        <v>22</v>
      </c>
      <c r="C21" s="13" t="str">
        <f>LEFT(Tabla6[[#This Row],[Periodo]],2)</f>
        <v>Q4</v>
      </c>
      <c r="D21" s="13" t="str">
        <f>RIGHT(Tabla6[[#This Row],[Periodo]],5)</f>
        <v xml:space="preserve"> 2009</v>
      </c>
      <c r="E21" s="37">
        <v>8.7899999999999991</v>
      </c>
      <c r="F21" s="35">
        <v>3.8380000000000001</v>
      </c>
      <c r="G21" s="37">
        <v>1.8340000000000001</v>
      </c>
      <c r="H21" s="35">
        <v>2.0790000000000002</v>
      </c>
      <c r="I21" s="37">
        <v>3.47</v>
      </c>
      <c r="J21" s="35">
        <v>1.107</v>
      </c>
      <c r="K21" s="37">
        <v>275</v>
      </c>
      <c r="L21" s="38">
        <v>1.0660000000000001</v>
      </c>
      <c r="M21" s="40">
        <v>20</v>
      </c>
      <c r="N21" s="35">
        <v>495</v>
      </c>
      <c r="O21" s="37">
        <v>403</v>
      </c>
      <c r="P21" s="35">
        <v>2.641</v>
      </c>
      <c r="Q21" s="37">
        <v>323</v>
      </c>
      <c r="R21" s="35">
        <v>347</v>
      </c>
      <c r="S21" s="37">
        <v>3.0350000000000001</v>
      </c>
      <c r="T21" s="35">
        <v>270</v>
      </c>
      <c r="U21" s="37">
        <v>10</v>
      </c>
      <c r="V21" s="35">
        <v>115</v>
      </c>
      <c r="W21" s="37">
        <v>328</v>
      </c>
      <c r="X21" s="35">
        <v>541</v>
      </c>
      <c r="Y21" s="40">
        <v>93</v>
      </c>
    </row>
    <row r="22" spans="1:25" x14ac:dyDescent="0.35">
      <c r="A22" s="31" t="s">
        <v>1109</v>
      </c>
      <c r="B22" s="20" t="s">
        <v>23</v>
      </c>
      <c r="C22" s="13" t="str">
        <f>LEFT(Tabla6[[#This Row],[Periodo]],2)</f>
        <v>Q1</v>
      </c>
      <c r="D22" s="13" t="str">
        <f>RIGHT(Tabla6[[#This Row],[Periodo]],5)</f>
        <v xml:space="preserve"> 2010</v>
      </c>
      <c r="E22" s="37">
        <v>7.6980000000000004</v>
      </c>
      <c r="F22" s="35">
        <v>3.851</v>
      </c>
      <c r="G22" s="37">
        <v>1.7989999999999999</v>
      </c>
      <c r="H22" s="35">
        <v>1.96</v>
      </c>
      <c r="I22" s="37">
        <v>2.927</v>
      </c>
      <c r="J22" s="35">
        <v>1.0629999999999999</v>
      </c>
      <c r="K22" s="37">
        <v>279</v>
      </c>
      <c r="L22" s="38">
        <v>995</v>
      </c>
      <c r="M22" s="40">
        <v>21</v>
      </c>
      <c r="N22" s="35">
        <v>454</v>
      </c>
      <c r="O22" s="37">
        <v>412</v>
      </c>
      <c r="P22" s="35">
        <v>2.6269999999999998</v>
      </c>
      <c r="Q22" s="37">
        <v>329</v>
      </c>
      <c r="R22" s="35">
        <v>341</v>
      </c>
      <c r="S22" s="37">
        <v>2.8820000000000001</v>
      </c>
      <c r="T22" s="35">
        <v>269</v>
      </c>
      <c r="U22" s="37">
        <v>10</v>
      </c>
      <c r="V22" s="35">
        <v>367</v>
      </c>
      <c r="W22" s="37">
        <v>332</v>
      </c>
      <c r="X22" s="35">
        <v>586</v>
      </c>
      <c r="Y22" s="40">
        <v>99</v>
      </c>
    </row>
    <row r="23" spans="1:25" x14ac:dyDescent="0.35">
      <c r="A23" s="20" t="s">
        <v>1110</v>
      </c>
      <c r="B23" s="20" t="s">
        <v>24</v>
      </c>
      <c r="C23" s="13" t="str">
        <f>LEFT(Tabla6[[#This Row],[Periodo]],2)</f>
        <v>Q2</v>
      </c>
      <c r="D23" s="13" t="str">
        <f>RIGHT(Tabla6[[#This Row],[Periodo]],5)</f>
        <v xml:space="preserve"> 2010</v>
      </c>
      <c r="E23" s="37">
        <v>8.8260000000000005</v>
      </c>
      <c r="F23" s="35">
        <v>3.77</v>
      </c>
      <c r="G23" s="37">
        <v>1.758</v>
      </c>
      <c r="H23" s="35">
        <v>1.9279999999999999</v>
      </c>
      <c r="I23" s="37">
        <v>3.194</v>
      </c>
      <c r="J23" s="35">
        <v>1.0580000000000001</v>
      </c>
      <c r="K23" s="37">
        <v>292</v>
      </c>
      <c r="L23" s="38">
        <v>959</v>
      </c>
      <c r="M23" s="40">
        <v>23</v>
      </c>
      <c r="N23" s="35">
        <v>468</v>
      </c>
      <c r="O23" s="37">
        <v>418</v>
      </c>
      <c r="P23" s="35">
        <v>2.5960000000000001</v>
      </c>
      <c r="Q23" s="37">
        <v>351</v>
      </c>
      <c r="R23" s="35">
        <v>365</v>
      </c>
      <c r="S23" s="37">
        <v>2.9460000000000002</v>
      </c>
      <c r="T23" s="35">
        <v>281</v>
      </c>
      <c r="U23" s="37">
        <v>12</v>
      </c>
      <c r="V23" s="35">
        <v>358</v>
      </c>
      <c r="W23" s="37">
        <v>189</v>
      </c>
      <c r="X23" s="35">
        <v>578</v>
      </c>
      <c r="Y23" s="40">
        <v>100</v>
      </c>
    </row>
    <row r="24" spans="1:25" x14ac:dyDescent="0.35">
      <c r="A24" s="31" t="s">
        <v>1111</v>
      </c>
      <c r="B24" s="20" t="s">
        <v>25</v>
      </c>
      <c r="C24" s="13" t="str">
        <f>LEFT(Tabla6[[#This Row],[Periodo]],2)</f>
        <v>Q3</v>
      </c>
      <c r="D24" s="13" t="str">
        <f>RIGHT(Tabla6[[#This Row],[Periodo]],5)</f>
        <v xml:space="preserve"> 2010</v>
      </c>
      <c r="E24" s="37">
        <v>8.6750000000000007</v>
      </c>
      <c r="F24" s="35">
        <v>3.7730000000000001</v>
      </c>
      <c r="G24" s="37">
        <v>1.768</v>
      </c>
      <c r="H24" s="35">
        <v>1.9159999999999999</v>
      </c>
      <c r="I24" s="37">
        <v>3.2240000000000002</v>
      </c>
      <c r="J24" s="35">
        <v>965</v>
      </c>
      <c r="K24" s="37">
        <v>282</v>
      </c>
      <c r="L24" s="38">
        <v>941</v>
      </c>
      <c r="M24" s="40">
        <v>25</v>
      </c>
      <c r="N24" s="35">
        <v>472</v>
      </c>
      <c r="O24" s="37">
        <v>421</v>
      </c>
      <c r="P24" s="35">
        <v>2.629</v>
      </c>
      <c r="Q24" s="37">
        <v>344</v>
      </c>
      <c r="R24" s="35">
        <v>349</v>
      </c>
      <c r="S24" s="37">
        <v>3.0579999999999998</v>
      </c>
      <c r="T24" s="35">
        <v>270</v>
      </c>
      <c r="U24" s="37">
        <v>12</v>
      </c>
      <c r="V24" s="35">
        <v>345</v>
      </c>
      <c r="W24" s="37">
        <v>312</v>
      </c>
      <c r="X24" s="35">
        <v>652</v>
      </c>
      <c r="Y24" s="40">
        <v>101</v>
      </c>
    </row>
    <row r="25" spans="1:25" x14ac:dyDescent="0.35">
      <c r="A25" s="20" t="s">
        <v>1112</v>
      </c>
      <c r="B25" s="20" t="s">
        <v>26</v>
      </c>
      <c r="C25" s="13" t="str">
        <f>LEFT(Tabla6[[#This Row],[Periodo]],2)</f>
        <v>Q4</v>
      </c>
      <c r="D25" s="13" t="str">
        <f>RIGHT(Tabla6[[#This Row],[Periodo]],5)</f>
        <v xml:space="preserve"> 2010</v>
      </c>
      <c r="E25" s="37">
        <v>9.968</v>
      </c>
      <c r="F25" s="35">
        <v>3.903</v>
      </c>
      <c r="G25" s="37">
        <v>1.9950000000000001</v>
      </c>
      <c r="H25" s="35">
        <v>2.0019999999999998</v>
      </c>
      <c r="I25" s="37">
        <v>3.4980000000000002</v>
      </c>
      <c r="J25" s="35">
        <v>1.135</v>
      </c>
      <c r="K25" s="37">
        <v>306</v>
      </c>
      <c r="L25" s="38">
        <v>1.0669999999999999</v>
      </c>
      <c r="M25" s="40">
        <v>28</v>
      </c>
      <c r="N25" s="35">
        <v>534</v>
      </c>
      <c r="O25" s="37">
        <v>428</v>
      </c>
      <c r="P25" s="35">
        <v>2.5419999999999998</v>
      </c>
      <c r="Q25" s="37">
        <v>389</v>
      </c>
      <c r="R25" s="35">
        <v>392</v>
      </c>
      <c r="S25" s="37">
        <v>3.1669999999999998</v>
      </c>
      <c r="T25" s="35">
        <v>284</v>
      </c>
      <c r="U25" s="37">
        <v>16</v>
      </c>
      <c r="V25" s="35">
        <v>327</v>
      </c>
      <c r="W25" s="37">
        <v>328</v>
      </c>
      <c r="X25" s="35">
        <v>580</v>
      </c>
      <c r="Y25" s="40">
        <v>106</v>
      </c>
    </row>
    <row r="26" spans="1:25" x14ac:dyDescent="0.35">
      <c r="A26" s="31" t="s">
        <v>1113</v>
      </c>
      <c r="B26" s="20" t="s">
        <v>27</v>
      </c>
      <c r="C26" s="13" t="str">
        <f>LEFT(Tabla6[[#This Row],[Periodo]],2)</f>
        <v>Q1</v>
      </c>
      <c r="D26" s="13" t="str">
        <f>RIGHT(Tabla6[[#This Row],[Periodo]],5)</f>
        <v xml:space="preserve"> 2011</v>
      </c>
      <c r="E26" s="37">
        <v>9.0410000000000004</v>
      </c>
      <c r="F26" s="35">
        <v>3.8570000000000002</v>
      </c>
      <c r="G26" s="37">
        <v>2.0150000000000001</v>
      </c>
      <c r="H26" s="35">
        <v>1.925</v>
      </c>
      <c r="I26" s="37">
        <v>3.2839999999999998</v>
      </c>
      <c r="J26" s="35">
        <v>1.1160000000000001</v>
      </c>
      <c r="K26" s="37">
        <v>313</v>
      </c>
      <c r="L26" s="38">
        <v>1.0549999999999999</v>
      </c>
      <c r="M26" s="40">
        <v>28</v>
      </c>
      <c r="N26" s="35">
        <v>485</v>
      </c>
      <c r="O26" s="37">
        <v>433</v>
      </c>
      <c r="P26" s="35">
        <v>2.7210000000000001</v>
      </c>
      <c r="Q26" s="37">
        <v>388</v>
      </c>
      <c r="R26" s="35">
        <v>405</v>
      </c>
      <c r="S26" s="37">
        <v>3.036</v>
      </c>
      <c r="T26" s="35">
        <v>293</v>
      </c>
      <c r="U26" s="37">
        <v>14</v>
      </c>
      <c r="V26" s="35">
        <v>354</v>
      </c>
      <c r="W26" s="37">
        <v>378</v>
      </c>
      <c r="X26" s="35">
        <v>648</v>
      </c>
      <c r="Y26" s="40">
        <v>113</v>
      </c>
    </row>
    <row r="27" spans="1:25" x14ac:dyDescent="0.35">
      <c r="A27" s="20" t="s">
        <v>1114</v>
      </c>
      <c r="B27" s="20" t="s">
        <v>28</v>
      </c>
      <c r="C27" s="13" t="str">
        <f>LEFT(Tabla6[[#This Row],[Periodo]],2)</f>
        <v>Q2</v>
      </c>
      <c r="D27" s="13" t="str">
        <f>RIGHT(Tabla6[[#This Row],[Periodo]],5)</f>
        <v xml:space="preserve"> 2011</v>
      </c>
      <c r="E27" s="37">
        <v>9.6159999999999997</v>
      </c>
      <c r="F27" s="35">
        <v>3.9750000000000001</v>
      </c>
      <c r="G27" s="37">
        <v>2.0459999999999998</v>
      </c>
      <c r="H27" s="35">
        <v>1.9750000000000001</v>
      </c>
      <c r="I27" s="37">
        <v>3.536</v>
      </c>
      <c r="J27" s="35">
        <v>1.137</v>
      </c>
      <c r="K27" s="37">
        <v>342</v>
      </c>
      <c r="L27" s="38">
        <v>1.077</v>
      </c>
      <c r="M27" s="40">
        <v>32</v>
      </c>
      <c r="N27" s="35">
        <v>522</v>
      </c>
      <c r="O27" s="37">
        <v>439</v>
      </c>
      <c r="P27" s="35">
        <v>2.8540000000000001</v>
      </c>
      <c r="Q27" s="37">
        <v>426</v>
      </c>
      <c r="R27" s="35">
        <v>431</v>
      </c>
      <c r="S27" s="37">
        <v>3.194</v>
      </c>
      <c r="T27" s="35">
        <v>318</v>
      </c>
      <c r="U27" s="37">
        <v>21</v>
      </c>
      <c r="V27" s="35">
        <v>381</v>
      </c>
      <c r="W27" s="37">
        <v>319</v>
      </c>
      <c r="X27" s="35">
        <v>649</v>
      </c>
      <c r="Y27" s="40">
        <v>110</v>
      </c>
    </row>
    <row r="28" spans="1:25" x14ac:dyDescent="0.35">
      <c r="A28" s="31" t="s">
        <v>1115</v>
      </c>
      <c r="B28" s="20" t="s">
        <v>29</v>
      </c>
      <c r="C28" s="13" t="str">
        <f>LEFT(Tabla6[[#This Row],[Periodo]],2)</f>
        <v>Q3</v>
      </c>
      <c r="D28" s="13" t="str">
        <f>RIGHT(Tabla6[[#This Row],[Periodo]],5)</f>
        <v xml:space="preserve"> 2011</v>
      </c>
      <c r="E28" s="37">
        <v>9.8170000000000002</v>
      </c>
      <c r="F28" s="35">
        <v>3.9460000000000002</v>
      </c>
      <c r="G28" s="37">
        <v>2.0310000000000001</v>
      </c>
      <c r="H28" s="35">
        <v>1.8740000000000001</v>
      </c>
      <c r="I28" s="37">
        <v>3.4790000000000001</v>
      </c>
      <c r="J28" s="35">
        <v>1.032</v>
      </c>
      <c r="K28" s="37">
        <v>315</v>
      </c>
      <c r="L28" s="38">
        <v>1.032</v>
      </c>
      <c r="M28" s="40">
        <v>45</v>
      </c>
      <c r="N28" s="35">
        <v>517</v>
      </c>
      <c r="O28" s="37">
        <v>451</v>
      </c>
      <c r="P28" s="35">
        <v>2.9329999999999998</v>
      </c>
      <c r="Q28" s="37">
        <v>447</v>
      </c>
      <c r="R28" s="35">
        <v>413</v>
      </c>
      <c r="S28" s="37">
        <v>3.242</v>
      </c>
      <c r="T28" s="35">
        <v>301</v>
      </c>
      <c r="U28" s="37">
        <v>18</v>
      </c>
      <c r="V28" s="35">
        <v>363</v>
      </c>
      <c r="W28" s="37">
        <v>343</v>
      </c>
      <c r="X28" s="35">
        <v>719</v>
      </c>
      <c r="Y28" s="40">
        <v>104</v>
      </c>
    </row>
    <row r="29" spans="1:25" x14ac:dyDescent="0.35">
      <c r="A29" s="20" t="s">
        <v>1116</v>
      </c>
      <c r="B29" s="20" t="s">
        <v>30</v>
      </c>
      <c r="C29" s="13" t="str">
        <f>LEFT(Tabla6[[#This Row],[Periodo]],2)</f>
        <v>Q4</v>
      </c>
      <c r="D29" s="13" t="str">
        <f>RIGHT(Tabla6[[#This Row],[Periodo]],5)</f>
        <v xml:space="preserve"> 2011</v>
      </c>
      <c r="E29" s="37">
        <v>10.377000000000001</v>
      </c>
      <c r="F29" s="35">
        <v>4.0229999999999997</v>
      </c>
      <c r="G29" s="37">
        <v>2.2149999999999999</v>
      </c>
      <c r="H29" s="35">
        <v>1.8480000000000001</v>
      </c>
      <c r="I29" s="37">
        <v>3.5939999999999999</v>
      </c>
      <c r="J29" s="35">
        <v>1.167</v>
      </c>
      <c r="K29" s="37">
        <v>333</v>
      </c>
      <c r="L29" s="38">
        <v>1.1060000000000001</v>
      </c>
      <c r="M29" s="40">
        <v>47</v>
      </c>
      <c r="N29" s="35">
        <v>550</v>
      </c>
      <c r="O29" s="37">
        <v>467</v>
      </c>
      <c r="P29" s="35">
        <v>3.0510000000000002</v>
      </c>
      <c r="Q29" s="37">
        <v>497</v>
      </c>
      <c r="R29" s="35">
        <v>430</v>
      </c>
      <c r="S29" s="37">
        <v>3.323</v>
      </c>
      <c r="T29" s="35">
        <v>307</v>
      </c>
      <c r="U29" s="37">
        <v>22</v>
      </c>
      <c r="V29" s="35">
        <v>395</v>
      </c>
      <c r="W29" s="37">
        <v>355</v>
      </c>
      <c r="X29" s="35">
        <v>625</v>
      </c>
      <c r="Y29" s="40">
        <v>112</v>
      </c>
    </row>
    <row r="30" spans="1:25" x14ac:dyDescent="0.35">
      <c r="A30" s="31" t="s">
        <v>1117</v>
      </c>
      <c r="B30" s="20" t="s">
        <v>31</v>
      </c>
      <c r="C30" s="13" t="str">
        <f>LEFT(Tabla6[[#This Row],[Periodo]],2)</f>
        <v>Q1</v>
      </c>
      <c r="D30" s="13" t="str">
        <f>RIGHT(Tabla6[[#This Row],[Periodo]],5)</f>
        <v xml:space="preserve"> 2012</v>
      </c>
      <c r="E30" s="37">
        <v>5.2839999999999998</v>
      </c>
      <c r="F30" s="35">
        <v>3.9180000000000001</v>
      </c>
      <c r="G30" s="37">
        <v>2.161</v>
      </c>
      <c r="H30" s="35">
        <v>1.8660000000000001</v>
      </c>
      <c r="I30" s="37">
        <v>3.3879999999999999</v>
      </c>
      <c r="J30" s="35">
        <v>1.141</v>
      </c>
      <c r="K30" s="37">
        <v>349</v>
      </c>
      <c r="L30" s="38">
        <v>1.079</v>
      </c>
      <c r="M30" s="40">
        <v>48</v>
      </c>
      <c r="N30" s="35">
        <v>486</v>
      </c>
      <c r="O30" s="37">
        <v>473</v>
      </c>
      <c r="P30" s="35">
        <v>3.0569999999999999</v>
      </c>
      <c r="Q30" s="37">
        <v>495</v>
      </c>
      <c r="R30" s="35">
        <v>459</v>
      </c>
      <c r="S30" s="37">
        <v>3.2490000000000001</v>
      </c>
      <c r="T30" s="35">
        <v>323</v>
      </c>
      <c r="U30" s="37">
        <v>20</v>
      </c>
      <c r="V30" s="35">
        <v>381</v>
      </c>
      <c r="W30" s="37">
        <v>390</v>
      </c>
      <c r="X30" s="35">
        <v>720</v>
      </c>
      <c r="Y30" s="40">
        <v>119</v>
      </c>
    </row>
    <row r="31" spans="1:25" x14ac:dyDescent="0.35">
      <c r="A31" s="20" t="s">
        <v>1118</v>
      </c>
      <c r="B31" s="20" t="s">
        <v>32</v>
      </c>
      <c r="C31" s="13" t="str">
        <f>LEFT(Tabla6[[#This Row],[Periodo]],2)</f>
        <v>Q2</v>
      </c>
      <c r="D31" s="13" t="str">
        <f>RIGHT(Tabla6[[#This Row],[Periodo]],5)</f>
        <v xml:space="preserve"> 2012</v>
      </c>
      <c r="E31" s="37">
        <v>5.3129999999999997</v>
      </c>
      <c r="F31" s="35">
        <v>4.2969999999999997</v>
      </c>
      <c r="G31" s="37">
        <v>2.1059999999999999</v>
      </c>
      <c r="H31" s="35">
        <v>1.8280000000000001</v>
      </c>
      <c r="I31" s="37">
        <v>3.5720000000000001</v>
      </c>
      <c r="J31" s="35">
        <v>1.125</v>
      </c>
      <c r="K31" s="37">
        <v>372</v>
      </c>
      <c r="L31" s="38">
        <v>1.0289999999999999</v>
      </c>
      <c r="M31" s="40">
        <v>51</v>
      </c>
      <c r="N31" s="35">
        <v>510</v>
      </c>
      <c r="O31" s="37">
        <v>471</v>
      </c>
      <c r="P31" s="35">
        <v>3.1080000000000001</v>
      </c>
      <c r="Q31" s="37">
        <v>537</v>
      </c>
      <c r="R31" s="35">
        <v>482</v>
      </c>
      <c r="S31" s="37">
        <v>3.4279999999999999</v>
      </c>
      <c r="T31" s="35">
        <v>336</v>
      </c>
      <c r="U31" s="37">
        <v>23</v>
      </c>
      <c r="V31" s="35">
        <v>383</v>
      </c>
      <c r="W31" s="37">
        <v>337</v>
      </c>
      <c r="X31" s="35">
        <v>705</v>
      </c>
      <c r="Y31" s="40">
        <v>123</v>
      </c>
    </row>
    <row r="32" spans="1:25" x14ac:dyDescent="0.35">
      <c r="A32" s="31" t="s">
        <v>1119</v>
      </c>
      <c r="B32" s="20" t="s">
        <v>33</v>
      </c>
      <c r="C32" s="13" t="str">
        <f>LEFT(Tabla6[[#This Row],[Periodo]],2)</f>
        <v>Q3</v>
      </c>
      <c r="D32" s="13" t="str">
        <f>RIGHT(Tabla6[[#This Row],[Periodo]],5)</f>
        <v xml:space="preserve"> 2012</v>
      </c>
      <c r="E32" s="37">
        <v>5.2649999999999997</v>
      </c>
      <c r="F32" s="35">
        <v>4.008</v>
      </c>
      <c r="G32" s="37">
        <v>2.052</v>
      </c>
      <c r="H32" s="35">
        <v>1.7350000000000001</v>
      </c>
      <c r="I32" s="37">
        <v>3.4769999999999999</v>
      </c>
      <c r="J32" s="35">
        <v>1.026</v>
      </c>
      <c r="K32" s="37">
        <v>340</v>
      </c>
      <c r="L32" s="38">
        <v>952</v>
      </c>
      <c r="M32" s="40">
        <v>55</v>
      </c>
      <c r="N32" s="35">
        <v>499</v>
      </c>
      <c r="O32" s="37">
        <v>470</v>
      </c>
      <c r="P32" s="35">
        <v>3.0859999999999999</v>
      </c>
      <c r="Q32" s="37">
        <v>538</v>
      </c>
      <c r="R32" s="35">
        <v>448</v>
      </c>
      <c r="S32" s="37">
        <v>3.4180000000000001</v>
      </c>
      <c r="T32" s="35">
        <v>315</v>
      </c>
      <c r="U32" s="37">
        <v>23</v>
      </c>
      <c r="V32" s="35">
        <v>368</v>
      </c>
      <c r="W32" s="37">
        <v>356</v>
      </c>
      <c r="X32" s="35">
        <v>756</v>
      </c>
      <c r="Y32" s="40">
        <v>119</v>
      </c>
    </row>
    <row r="33" spans="1:25" x14ac:dyDescent="0.35">
      <c r="A33" s="20" t="s">
        <v>1120</v>
      </c>
      <c r="B33" s="20" t="s">
        <v>34</v>
      </c>
      <c r="C33" s="13" t="str">
        <f>LEFT(Tabla6[[#This Row],[Periodo]],2)</f>
        <v>Q4</v>
      </c>
      <c r="D33" s="13" t="str">
        <f>RIGHT(Tabla6[[#This Row],[Periodo]],5)</f>
        <v xml:space="preserve"> 2012</v>
      </c>
      <c r="E33" s="37">
        <v>3.1880000000000002</v>
      </c>
      <c r="F33" s="35">
        <v>4.0949999999999998</v>
      </c>
      <c r="G33" s="37">
        <v>2.3380000000000001</v>
      </c>
      <c r="H33" s="35">
        <v>1.82</v>
      </c>
      <c r="I33" s="37">
        <v>3.4990000000000001</v>
      </c>
      <c r="J33" s="35">
        <v>1.181</v>
      </c>
      <c r="K33" s="37">
        <v>377</v>
      </c>
      <c r="L33" s="38">
        <v>1.077</v>
      </c>
      <c r="M33" s="40">
        <v>58</v>
      </c>
      <c r="N33" s="35">
        <v>574</v>
      </c>
      <c r="O33" s="37">
        <v>588</v>
      </c>
      <c r="P33" s="35">
        <v>3.2589999999999999</v>
      </c>
      <c r="Q33" s="37">
        <v>609</v>
      </c>
      <c r="R33" s="35">
        <v>511</v>
      </c>
      <c r="S33" s="37">
        <v>3.706</v>
      </c>
      <c r="T33" s="35">
        <v>320</v>
      </c>
      <c r="U33" s="37">
        <v>33</v>
      </c>
      <c r="V33" s="35">
        <v>419</v>
      </c>
      <c r="W33" s="37">
        <v>380</v>
      </c>
      <c r="X33" s="35">
        <v>678</v>
      </c>
      <c r="Y33" s="40">
        <v>132</v>
      </c>
    </row>
    <row r="34" spans="1:25" x14ac:dyDescent="0.35">
      <c r="A34" s="31" t="s">
        <v>1121</v>
      </c>
      <c r="B34" s="20" t="s">
        <v>35</v>
      </c>
      <c r="C34" s="13" t="str">
        <f>LEFT(Tabla6[[#This Row],[Periodo]],2)</f>
        <v>Q1</v>
      </c>
      <c r="D34" s="13" t="str">
        <f>RIGHT(Tabla6[[#This Row],[Periodo]],5)</f>
        <v xml:space="preserve"> 2013</v>
      </c>
      <c r="E34" s="37">
        <v>5.3780000000000001</v>
      </c>
      <c r="F34" s="35">
        <v>4.0270000000000001</v>
      </c>
      <c r="G34" s="37">
        <v>2.19</v>
      </c>
      <c r="H34" s="35">
        <v>1.7609999999999999</v>
      </c>
      <c r="I34" s="37">
        <v>3.448</v>
      </c>
      <c r="J34" s="35">
        <v>1.139</v>
      </c>
      <c r="K34" s="37">
        <v>384</v>
      </c>
      <c r="L34" s="38">
        <v>1.075</v>
      </c>
      <c r="M34" s="40">
        <v>57</v>
      </c>
      <c r="N34" s="35">
        <v>500</v>
      </c>
      <c r="O34" s="37">
        <v>631</v>
      </c>
      <c r="P34" s="35">
        <v>3.1920000000000002</v>
      </c>
      <c r="Q34" s="37">
        <v>611</v>
      </c>
      <c r="R34" s="35">
        <v>497</v>
      </c>
      <c r="S34" s="37">
        <v>3.464</v>
      </c>
      <c r="T34" s="35">
        <v>332</v>
      </c>
      <c r="U34" s="37">
        <v>30</v>
      </c>
      <c r="V34" s="35">
        <v>412</v>
      </c>
      <c r="W34" s="37">
        <v>428</v>
      </c>
      <c r="X34" s="35">
        <v>768</v>
      </c>
      <c r="Y34" s="40">
        <v>136</v>
      </c>
    </row>
    <row r="35" spans="1:25" x14ac:dyDescent="0.35">
      <c r="A35" s="20" t="s">
        <v>1122</v>
      </c>
      <c r="B35" s="20" t="s">
        <v>36</v>
      </c>
      <c r="C35" s="13" t="str">
        <f>LEFT(Tabla6[[#This Row],[Periodo]],2)</f>
        <v>Q2</v>
      </c>
      <c r="D35" s="13" t="str">
        <f>RIGHT(Tabla6[[#This Row],[Periodo]],5)</f>
        <v xml:space="preserve"> 2013</v>
      </c>
      <c r="E35" s="37">
        <v>5.4459999999999997</v>
      </c>
      <c r="F35" s="35">
        <v>4.46</v>
      </c>
      <c r="G35" s="37">
        <v>2.2120000000000002</v>
      </c>
      <c r="H35" s="35">
        <v>1.8089999999999999</v>
      </c>
      <c r="I35" s="37">
        <v>3.669</v>
      </c>
      <c r="J35" s="35">
        <v>1.17</v>
      </c>
      <c r="K35" s="37">
        <v>415</v>
      </c>
      <c r="L35" s="38">
        <v>1.0740000000000001</v>
      </c>
      <c r="M35" s="40">
        <v>60</v>
      </c>
      <c r="N35" s="35">
        <v>525</v>
      </c>
      <c r="O35" s="37">
        <v>613</v>
      </c>
      <c r="P35" s="35">
        <v>3.24</v>
      </c>
      <c r="Q35" s="37">
        <v>579</v>
      </c>
      <c r="R35" s="35">
        <v>517</v>
      </c>
      <c r="S35" s="37">
        <v>3.613</v>
      </c>
      <c r="T35" s="35">
        <v>353</v>
      </c>
      <c r="U35" s="37">
        <v>36</v>
      </c>
      <c r="V35" s="35">
        <v>420</v>
      </c>
      <c r="W35" s="37">
        <v>368</v>
      </c>
      <c r="X35" s="35">
        <v>726</v>
      </c>
      <c r="Y35" s="40">
        <v>137</v>
      </c>
    </row>
    <row r="36" spans="1:25" x14ac:dyDescent="0.35">
      <c r="A36" s="31" t="s">
        <v>1123</v>
      </c>
      <c r="B36" s="20" t="s">
        <v>37</v>
      </c>
      <c r="C36" s="13" t="str">
        <f>LEFT(Tabla6[[#This Row],[Periodo]],2)</f>
        <v>Q3</v>
      </c>
      <c r="D36" s="13" t="str">
        <f>RIGHT(Tabla6[[#This Row],[Periodo]],5)</f>
        <v xml:space="preserve"> 2013</v>
      </c>
      <c r="E36" s="37">
        <v>4.8250000000000002</v>
      </c>
      <c r="F36" s="35">
        <v>4.0830000000000002</v>
      </c>
      <c r="G36" s="37">
        <v>2.1509999999999998</v>
      </c>
      <c r="H36" s="35">
        <v>1.7350000000000001</v>
      </c>
      <c r="I36" s="37">
        <v>3.71</v>
      </c>
      <c r="J36" s="35">
        <v>1.0740000000000001</v>
      </c>
      <c r="K36" s="37">
        <v>358</v>
      </c>
      <c r="L36" s="38">
        <v>1.0269999999999999</v>
      </c>
      <c r="M36" s="40">
        <v>61</v>
      </c>
      <c r="N36" s="35">
        <v>505</v>
      </c>
      <c r="O36" s="37">
        <v>626</v>
      </c>
      <c r="P36" s="35">
        <v>3.1920000000000002</v>
      </c>
      <c r="Q36" s="37">
        <v>499</v>
      </c>
      <c r="R36" s="35">
        <v>496</v>
      </c>
      <c r="S36" s="37">
        <v>3.6659999999999999</v>
      </c>
      <c r="T36" s="35">
        <v>338</v>
      </c>
      <c r="U36" s="37">
        <v>43</v>
      </c>
      <c r="V36" s="35">
        <v>414</v>
      </c>
      <c r="W36" s="37">
        <v>384</v>
      </c>
      <c r="X36" s="35">
        <v>770</v>
      </c>
      <c r="Y36" s="40">
        <v>131</v>
      </c>
    </row>
    <row r="37" spans="1:25" x14ac:dyDescent="0.35">
      <c r="A37" s="20" t="s">
        <v>1124</v>
      </c>
      <c r="B37" s="20" t="s">
        <v>38</v>
      </c>
      <c r="C37" s="13" t="str">
        <f>LEFT(Tabla6[[#This Row],[Periodo]],2)</f>
        <v>Q4</v>
      </c>
      <c r="D37" s="13" t="str">
        <f>RIGHT(Tabla6[[#This Row],[Periodo]],5)</f>
        <v xml:space="preserve"> 2013</v>
      </c>
      <c r="E37" s="37">
        <v>4.008</v>
      </c>
      <c r="F37" s="35">
        <v>4.194</v>
      </c>
      <c r="G37" s="37">
        <v>2.468</v>
      </c>
      <c r="H37" s="35">
        <v>1.8380000000000001</v>
      </c>
      <c r="I37" s="37">
        <v>4.3220000000000001</v>
      </c>
      <c r="J37" s="35">
        <v>1.2410000000000001</v>
      </c>
      <c r="K37" s="37">
        <v>384</v>
      </c>
      <c r="L37" s="38">
        <v>1.175</v>
      </c>
      <c r="M37" s="40">
        <v>69</v>
      </c>
      <c r="N37" s="35">
        <v>603</v>
      </c>
      <c r="O37" s="37">
        <v>622</v>
      </c>
      <c r="P37" s="35">
        <v>3.4670000000000001</v>
      </c>
      <c r="Q37" s="37">
        <v>576</v>
      </c>
      <c r="R37" s="35">
        <v>536</v>
      </c>
      <c r="S37" s="37">
        <v>3.867</v>
      </c>
      <c r="T37" s="35">
        <v>354</v>
      </c>
      <c r="U37" s="37">
        <v>52</v>
      </c>
      <c r="V37" s="35">
        <v>451</v>
      </c>
      <c r="W37" s="37">
        <v>406</v>
      </c>
      <c r="X37" s="35">
        <v>712</v>
      </c>
      <c r="Y37" s="40">
        <v>142</v>
      </c>
    </row>
    <row r="38" spans="1:25" x14ac:dyDescent="0.35">
      <c r="A38" s="31" t="s">
        <v>1125</v>
      </c>
      <c r="B38" s="20" t="s">
        <v>39</v>
      </c>
      <c r="C38" s="13" t="str">
        <f>LEFT(Tabla6[[#This Row],[Periodo]],2)</f>
        <v>Q1</v>
      </c>
      <c r="D38" s="13" t="str">
        <f>RIGHT(Tabla6[[#This Row],[Periodo]],5)</f>
        <v xml:space="preserve"> 2014</v>
      </c>
      <c r="E38" s="37">
        <v>4.7549999999999999</v>
      </c>
      <c r="F38" s="35">
        <v>4.1630000000000003</v>
      </c>
      <c r="G38" s="37">
        <v>2.3050000000000002</v>
      </c>
      <c r="H38" s="35">
        <v>1.774</v>
      </c>
      <c r="I38" s="37">
        <v>3.8479999999999999</v>
      </c>
      <c r="J38" s="35">
        <v>1.1619999999999999</v>
      </c>
      <c r="K38" s="37">
        <v>398</v>
      </c>
      <c r="L38" s="38">
        <v>1.073</v>
      </c>
      <c r="M38" s="40">
        <v>69</v>
      </c>
      <c r="N38" s="35">
        <v>509</v>
      </c>
      <c r="O38" s="37">
        <v>613</v>
      </c>
      <c r="P38" s="35">
        <v>3.9039999999999999</v>
      </c>
      <c r="Q38" s="37">
        <v>465</v>
      </c>
      <c r="R38" s="35">
        <v>522</v>
      </c>
      <c r="S38" s="37">
        <v>3.5640000000000001</v>
      </c>
      <c r="T38" s="35">
        <v>360</v>
      </c>
      <c r="U38" s="37">
        <v>47</v>
      </c>
      <c r="V38" s="35">
        <v>439</v>
      </c>
      <c r="W38" s="37">
        <v>465</v>
      </c>
      <c r="X38" s="35">
        <v>779</v>
      </c>
      <c r="Y38" s="40">
        <v>140</v>
      </c>
    </row>
    <row r="39" spans="1:25" x14ac:dyDescent="0.35">
      <c r="A39" s="20" t="s">
        <v>1126</v>
      </c>
      <c r="B39" s="20" t="s">
        <v>40</v>
      </c>
      <c r="C39" s="13" t="str">
        <f>LEFT(Tabla6[[#This Row],[Periodo]],2)</f>
        <v>Q2</v>
      </c>
      <c r="D39" s="13" t="str">
        <f>RIGHT(Tabla6[[#This Row],[Periodo]],5)</f>
        <v xml:space="preserve"> 2014</v>
      </c>
      <c r="E39" s="37">
        <v>5.0570000000000004</v>
      </c>
      <c r="F39" s="35">
        <v>4.5650000000000004</v>
      </c>
      <c r="G39" s="37">
        <v>2.363</v>
      </c>
      <c r="H39" s="35">
        <v>1.873</v>
      </c>
      <c r="I39" s="37">
        <v>4.1539999999999999</v>
      </c>
      <c r="J39" s="35">
        <v>1.1830000000000001</v>
      </c>
      <c r="K39" s="37">
        <v>415</v>
      </c>
      <c r="L39" s="38">
        <v>1.147</v>
      </c>
      <c r="M39" s="40">
        <v>72</v>
      </c>
      <c r="N39" s="35">
        <v>537</v>
      </c>
      <c r="O39" s="37">
        <v>625</v>
      </c>
      <c r="P39" s="35">
        <v>4.3220000000000001</v>
      </c>
      <c r="Q39" s="37">
        <v>512</v>
      </c>
      <c r="R39" s="35">
        <v>575</v>
      </c>
      <c r="S39" s="37">
        <v>3.835</v>
      </c>
      <c r="T39" s="35">
        <v>390</v>
      </c>
      <c r="U39" s="37">
        <v>59</v>
      </c>
      <c r="V39" s="35">
        <v>468</v>
      </c>
      <c r="W39" s="37">
        <v>413</v>
      </c>
      <c r="X39" s="35">
        <v>748</v>
      </c>
      <c r="Y39" s="40">
        <v>141</v>
      </c>
    </row>
    <row r="40" spans="1:25" x14ac:dyDescent="0.35">
      <c r="A40" s="31" t="s">
        <v>1127</v>
      </c>
      <c r="B40" s="20" t="s">
        <v>41</v>
      </c>
      <c r="C40" s="13" t="str">
        <f>LEFT(Tabla6[[#This Row],[Periodo]],2)</f>
        <v>Q3</v>
      </c>
      <c r="D40" s="13" t="str">
        <f>RIGHT(Tabla6[[#This Row],[Periodo]],5)</f>
        <v xml:space="preserve"> 2014</v>
      </c>
      <c r="E40" s="37">
        <v>5.0789999999999997</v>
      </c>
      <c r="F40" s="35">
        <v>4.2729999999999997</v>
      </c>
      <c r="G40" s="37">
        <v>2.3889999999999998</v>
      </c>
      <c r="H40" s="35">
        <v>1.8460000000000001</v>
      </c>
      <c r="I40" s="37">
        <v>2.7090000000000001</v>
      </c>
      <c r="J40" s="35">
        <v>1.1060000000000001</v>
      </c>
      <c r="K40" s="37">
        <v>380</v>
      </c>
      <c r="L40" s="38">
        <v>1.1479999999999999</v>
      </c>
      <c r="M40" s="40">
        <v>75</v>
      </c>
      <c r="N40" s="35">
        <v>531</v>
      </c>
      <c r="O40" s="37">
        <v>633</v>
      </c>
      <c r="P40" s="35">
        <v>4.1710000000000003</v>
      </c>
      <c r="Q40" s="37">
        <v>550</v>
      </c>
      <c r="R40" s="35">
        <v>607</v>
      </c>
      <c r="S40" s="37">
        <v>4.1130000000000004</v>
      </c>
      <c r="T40" s="35">
        <v>384</v>
      </c>
      <c r="U40" s="37">
        <v>69</v>
      </c>
      <c r="V40" s="35">
        <v>457</v>
      </c>
      <c r="W40" s="37">
        <v>463</v>
      </c>
      <c r="X40" s="35">
        <v>812</v>
      </c>
      <c r="Y40" s="40">
        <v>144</v>
      </c>
    </row>
    <row r="41" spans="1:25" x14ac:dyDescent="0.35">
      <c r="A41" s="20" t="s">
        <v>1128</v>
      </c>
      <c r="B41" s="20" t="s">
        <v>42</v>
      </c>
      <c r="C41" s="13" t="str">
        <f>LEFT(Tabla6[[#This Row],[Periodo]],2)</f>
        <v>Q4</v>
      </c>
      <c r="D41" s="13" t="str">
        <f>RIGHT(Tabla6[[#This Row],[Periodo]],5)</f>
        <v xml:space="preserve"> 2014</v>
      </c>
      <c r="E41" s="37">
        <v>5.3559999999999999</v>
      </c>
      <c r="F41" s="35">
        <v>4.3659999999999997</v>
      </c>
      <c r="G41" s="37">
        <v>2.6179999999999999</v>
      </c>
      <c r="H41" s="35">
        <v>1.887</v>
      </c>
      <c r="I41" s="37">
        <v>2.7890000000000001</v>
      </c>
      <c r="J41" s="35">
        <v>1.2230000000000001</v>
      </c>
      <c r="K41" s="37">
        <v>423</v>
      </c>
      <c r="L41" s="38">
        <v>1.2490000000000001</v>
      </c>
      <c r="M41" s="40">
        <v>15</v>
      </c>
      <c r="N41" s="35">
        <v>598</v>
      </c>
      <c r="O41" s="37">
        <v>661</v>
      </c>
      <c r="P41" s="35">
        <v>4.4930000000000003</v>
      </c>
      <c r="Q41" s="37">
        <v>605</v>
      </c>
      <c r="R41" s="35">
        <v>618</v>
      </c>
      <c r="S41" s="37">
        <v>4.32</v>
      </c>
      <c r="T41" s="35">
        <v>352</v>
      </c>
      <c r="U41" s="37">
        <v>84</v>
      </c>
      <c r="V41" s="35">
        <v>476</v>
      </c>
      <c r="W41" s="37">
        <v>473</v>
      </c>
      <c r="X41" s="35">
        <v>738</v>
      </c>
      <c r="Y41" s="40">
        <v>162</v>
      </c>
    </row>
    <row r="42" spans="1:25" x14ac:dyDescent="0.35">
      <c r="A42" s="31" t="s">
        <v>1129</v>
      </c>
      <c r="B42" s="29" t="s">
        <v>43</v>
      </c>
      <c r="C42" s="32" t="str">
        <f>LEFT(Tabla6[[#This Row],[Periodo]],2)</f>
        <v>Q1</v>
      </c>
      <c r="D42" s="32" t="str">
        <f>RIGHT(Tabla6[[#This Row],[Periodo]],5)</f>
        <v xml:space="preserve"> 2015</v>
      </c>
      <c r="E42" s="37">
        <v>4.8970000000000002</v>
      </c>
      <c r="F42" s="35">
        <v>4.3179999999999996</v>
      </c>
      <c r="G42" s="37">
        <v>2.379</v>
      </c>
      <c r="H42" s="35">
        <v>1.768</v>
      </c>
      <c r="I42" s="37">
        <v>2.403</v>
      </c>
      <c r="J42" s="35">
        <v>1.1339999999999999</v>
      </c>
      <c r="K42" s="37">
        <v>422</v>
      </c>
      <c r="L42" s="39" t="s">
        <v>174</v>
      </c>
      <c r="M42" s="40">
        <v>48</v>
      </c>
      <c r="N42" s="35">
        <v>473</v>
      </c>
      <c r="O42" s="37">
        <v>653</v>
      </c>
      <c r="P42" s="35">
        <v>3.919</v>
      </c>
      <c r="Q42" s="37">
        <v>532</v>
      </c>
      <c r="R42" s="35">
        <v>590</v>
      </c>
      <c r="S42" s="37">
        <v>3.96</v>
      </c>
      <c r="T42" s="35">
        <v>382</v>
      </c>
      <c r="U42" s="37">
        <v>73</v>
      </c>
      <c r="V42" s="35">
        <v>429</v>
      </c>
      <c r="W42" s="37">
        <v>502</v>
      </c>
      <c r="X42" s="35">
        <v>759</v>
      </c>
      <c r="Y42" s="40">
        <v>155</v>
      </c>
    </row>
    <row r="43" spans="1:25" x14ac:dyDescent="0.35">
      <c r="A43" s="20" t="s">
        <v>1130</v>
      </c>
      <c r="B43" s="20" t="s">
        <v>44</v>
      </c>
      <c r="C43" s="13" t="str">
        <f>LEFT(Tabla6[[#This Row],[Periodo]],2)</f>
        <v>Q2</v>
      </c>
      <c r="D43" s="13" t="str">
        <f>RIGHT(Tabla6[[#This Row],[Periodo]],5)</f>
        <v xml:space="preserve"> 2015</v>
      </c>
      <c r="E43" s="37">
        <v>5.17</v>
      </c>
      <c r="F43" s="35">
        <v>7.3040000000000003</v>
      </c>
      <c r="G43" s="37">
        <v>2.4319999999999999</v>
      </c>
      <c r="H43" s="35">
        <v>1.843</v>
      </c>
      <c r="I43" s="37">
        <v>2.4750000000000001</v>
      </c>
      <c r="J43" s="35">
        <v>1.1679999999999999</v>
      </c>
      <c r="K43" s="37">
        <v>453</v>
      </c>
      <c r="L43" s="39" t="s">
        <v>174</v>
      </c>
      <c r="M43" s="40">
        <v>61</v>
      </c>
      <c r="N43" s="35">
        <v>506</v>
      </c>
      <c r="O43" s="37">
        <v>656</v>
      </c>
      <c r="P43" s="35">
        <v>4.2709999999999999</v>
      </c>
      <c r="Q43" s="37">
        <v>586</v>
      </c>
      <c r="R43" s="35">
        <v>617</v>
      </c>
      <c r="S43" s="37">
        <v>4.1989999999999998</v>
      </c>
      <c r="T43" s="35">
        <v>413</v>
      </c>
      <c r="U43" s="37">
        <v>93</v>
      </c>
      <c r="V43" s="35">
        <v>452</v>
      </c>
      <c r="W43" s="37">
        <v>440</v>
      </c>
      <c r="X43" s="35">
        <v>784</v>
      </c>
      <c r="Y43" s="40">
        <v>156</v>
      </c>
    </row>
    <row r="44" spans="1:25" x14ac:dyDescent="0.35">
      <c r="A44" s="31" t="s">
        <v>1131</v>
      </c>
      <c r="B44" s="20" t="s">
        <v>45</v>
      </c>
      <c r="C44" s="13" t="str">
        <f>LEFT(Tabla6[[#This Row],[Periodo]],2)</f>
        <v>Q3</v>
      </c>
      <c r="D44" s="13" t="str">
        <f>RIGHT(Tabla6[[#This Row],[Periodo]],5)</f>
        <v xml:space="preserve"> 2015</v>
      </c>
      <c r="E44" s="37">
        <v>5.15</v>
      </c>
      <c r="F44" s="35">
        <v>7.274</v>
      </c>
      <c r="G44" s="37">
        <v>2.42</v>
      </c>
      <c r="H44" s="35">
        <v>1.8879999999999999</v>
      </c>
      <c r="I44" s="37">
        <v>2.4870000000000001</v>
      </c>
      <c r="J44" s="35">
        <v>1.762</v>
      </c>
      <c r="K44" s="37">
        <v>412</v>
      </c>
      <c r="L44" s="39" t="s">
        <v>174</v>
      </c>
      <c r="M44" s="40">
        <v>71</v>
      </c>
      <c r="N44" s="35">
        <v>470</v>
      </c>
      <c r="O44" s="37">
        <v>694</v>
      </c>
      <c r="P44" s="35">
        <v>4.1230000000000002</v>
      </c>
      <c r="Q44" s="37">
        <v>590</v>
      </c>
      <c r="R44" s="35">
        <v>616</v>
      </c>
      <c r="S44" s="37">
        <v>4.2309999999999999</v>
      </c>
      <c r="T44" s="35">
        <v>406</v>
      </c>
      <c r="U44" s="37">
        <v>105</v>
      </c>
      <c r="V44" s="35">
        <v>444</v>
      </c>
      <c r="W44" s="37">
        <v>490</v>
      </c>
      <c r="X44" s="35">
        <v>209</v>
      </c>
      <c r="Y44" s="40">
        <v>153</v>
      </c>
    </row>
    <row r="45" spans="1:25" x14ac:dyDescent="0.35">
      <c r="A45" s="20" t="s">
        <v>1132</v>
      </c>
      <c r="B45" s="20" t="s">
        <v>46</v>
      </c>
      <c r="C45" s="13" t="str">
        <f>LEFT(Tabla6[[#This Row],[Periodo]],2)</f>
        <v>Q4</v>
      </c>
      <c r="D45" s="13" t="str">
        <f>RIGHT(Tabla6[[#This Row],[Periodo]],5)</f>
        <v xml:space="preserve"> 2015</v>
      </c>
      <c r="E45" s="37">
        <v>5.1879999999999997</v>
      </c>
      <c r="F45" s="35">
        <v>7.0579999999999998</v>
      </c>
      <c r="G45" s="37">
        <v>2.7149999999999999</v>
      </c>
      <c r="H45" s="35">
        <v>1.978</v>
      </c>
      <c r="I45" s="37">
        <v>2.6030000000000002</v>
      </c>
      <c r="J45" s="35">
        <v>1.9339999999999999</v>
      </c>
      <c r="K45" s="37">
        <v>455</v>
      </c>
      <c r="L45" s="39" t="s">
        <v>174</v>
      </c>
      <c r="M45" s="40">
        <v>84</v>
      </c>
      <c r="N45" s="35">
        <v>571</v>
      </c>
      <c r="O45" s="37">
        <v>703</v>
      </c>
      <c r="P45" s="35">
        <v>4.6520000000000001</v>
      </c>
      <c r="Q45" s="37">
        <v>677</v>
      </c>
      <c r="R45" s="35">
        <v>671</v>
      </c>
      <c r="S45" s="37">
        <v>4.3479999999999999</v>
      </c>
      <c r="T45" s="35">
        <v>400</v>
      </c>
      <c r="U45" s="37">
        <v>131</v>
      </c>
      <c r="V45" s="35">
        <v>485</v>
      </c>
      <c r="W45" s="37">
        <v>619</v>
      </c>
      <c r="X45" s="35">
        <v>757</v>
      </c>
      <c r="Y45" s="40">
        <v>167</v>
      </c>
    </row>
    <row r="46" spans="1:25" x14ac:dyDescent="0.35">
      <c r="A46" s="31" t="s">
        <v>1133</v>
      </c>
      <c r="B46" s="20" t="s">
        <v>47</v>
      </c>
      <c r="C46" s="13" t="str">
        <f>LEFT(Tabla6[[#This Row],[Periodo]],2)</f>
        <v>Q1</v>
      </c>
      <c r="D46" s="13" t="str">
        <f>RIGHT(Tabla6[[#This Row],[Periodo]],5)</f>
        <v xml:space="preserve"> 2016</v>
      </c>
      <c r="E46" s="37">
        <v>4.8849999999999998</v>
      </c>
      <c r="F46" s="35">
        <v>6.9340000000000002</v>
      </c>
      <c r="G46" s="37">
        <v>2.4950000000000001</v>
      </c>
      <c r="H46" s="35">
        <v>1.964</v>
      </c>
      <c r="I46" s="37">
        <v>2.375</v>
      </c>
      <c r="J46" s="35">
        <v>1.9039999999999999</v>
      </c>
      <c r="K46" s="37">
        <v>454</v>
      </c>
      <c r="L46" s="39" t="s">
        <v>174</v>
      </c>
      <c r="M46" s="40">
        <v>81</v>
      </c>
      <c r="N46" s="35">
        <v>471</v>
      </c>
      <c r="O46" s="37">
        <v>695</v>
      </c>
      <c r="P46" s="35">
        <v>4.2949999999999999</v>
      </c>
      <c r="Q46" s="37">
        <v>595</v>
      </c>
      <c r="R46" s="35">
        <v>697</v>
      </c>
      <c r="S46" s="37">
        <v>4.2050000000000001</v>
      </c>
      <c r="T46" s="35">
        <v>418</v>
      </c>
      <c r="U46" s="37">
        <v>116</v>
      </c>
      <c r="V46" s="35">
        <v>425</v>
      </c>
      <c r="W46" s="37">
        <v>690</v>
      </c>
      <c r="X46" s="35">
        <v>615</v>
      </c>
      <c r="Y46" s="40">
        <v>171</v>
      </c>
    </row>
    <row r="47" spans="1:25" x14ac:dyDescent="0.35">
      <c r="A47" s="20" t="s">
        <v>1134</v>
      </c>
      <c r="B47" s="20" t="s">
        <v>48</v>
      </c>
      <c r="C47" s="13" t="str">
        <f>LEFT(Tabla6[[#This Row],[Periodo]],2)</f>
        <v>Q2</v>
      </c>
      <c r="D47" s="13" t="str">
        <f>RIGHT(Tabla6[[#This Row],[Periodo]],5)</f>
        <v xml:space="preserve"> 2016</v>
      </c>
      <c r="E47" s="37">
        <v>5.3330000000000002</v>
      </c>
      <c r="F47" s="35">
        <v>7.5670000000000002</v>
      </c>
      <c r="G47" s="37">
        <v>2.84</v>
      </c>
      <c r="H47" s="35">
        <v>2.1259999999999999</v>
      </c>
      <c r="I47" s="37">
        <v>2.585</v>
      </c>
      <c r="J47" s="35">
        <v>1.9339999999999999</v>
      </c>
      <c r="K47" s="37">
        <v>519</v>
      </c>
      <c r="L47" s="39" t="s">
        <v>174</v>
      </c>
      <c r="M47" s="40">
        <v>87</v>
      </c>
      <c r="N47" s="35">
        <v>517</v>
      </c>
      <c r="O47" s="37">
        <v>693</v>
      </c>
      <c r="P47" s="35">
        <v>4.5350000000000001</v>
      </c>
      <c r="Q47" s="37">
        <v>670</v>
      </c>
      <c r="R47" s="35">
        <v>759</v>
      </c>
      <c r="S47" s="37">
        <v>4.42</v>
      </c>
      <c r="T47" s="35">
        <v>467</v>
      </c>
      <c r="U47" s="37">
        <v>137</v>
      </c>
      <c r="V47" s="35">
        <v>474</v>
      </c>
      <c r="W47" s="37">
        <v>638</v>
      </c>
      <c r="X47" s="35">
        <v>643</v>
      </c>
      <c r="Y47" s="40">
        <v>173</v>
      </c>
    </row>
    <row r="48" spans="1:25" x14ac:dyDescent="0.35">
      <c r="A48" s="31" t="s">
        <v>1135</v>
      </c>
      <c r="B48" s="20" t="s">
        <v>49</v>
      </c>
      <c r="C48" s="13" t="str">
        <f>LEFT(Tabla6[[#This Row],[Periodo]],2)</f>
        <v>Q3</v>
      </c>
      <c r="D48" s="13" t="str">
        <f>RIGHT(Tabla6[[#This Row],[Periodo]],5)</f>
        <v xml:space="preserve"> 2016</v>
      </c>
      <c r="E48" s="37">
        <v>5.3019999999999996</v>
      </c>
      <c r="F48" s="35">
        <v>7.1660000000000004</v>
      </c>
      <c r="G48" s="37">
        <v>2.8330000000000002</v>
      </c>
      <c r="H48" s="35">
        <v>2.105</v>
      </c>
      <c r="I48" s="37">
        <v>2.5579999999999998</v>
      </c>
      <c r="J48" s="35">
        <v>1.833</v>
      </c>
      <c r="K48" s="37">
        <v>465</v>
      </c>
      <c r="L48" s="39" t="s">
        <v>174</v>
      </c>
      <c r="M48" s="40">
        <v>95</v>
      </c>
      <c r="N48" s="35">
        <v>509</v>
      </c>
      <c r="O48" s="37">
        <v>717</v>
      </c>
      <c r="P48" s="35">
        <v>4.4909999999999997</v>
      </c>
      <c r="Q48" s="37">
        <v>683</v>
      </c>
      <c r="R48" s="35">
        <v>739</v>
      </c>
      <c r="S48" s="37">
        <v>4.5979999999999999</v>
      </c>
      <c r="T48" s="35">
        <v>448</v>
      </c>
      <c r="U48" s="37">
        <v>149</v>
      </c>
      <c r="V48" s="35">
        <v>456</v>
      </c>
      <c r="W48" s="37">
        <v>646</v>
      </c>
      <c r="X48" s="35">
        <v>579</v>
      </c>
      <c r="Y48" s="40">
        <v>168</v>
      </c>
    </row>
    <row r="49" spans="1:25" x14ac:dyDescent="0.35">
      <c r="A49" s="20" t="s">
        <v>1136</v>
      </c>
      <c r="B49" s="20" t="s">
        <v>50</v>
      </c>
      <c r="C49" s="13" t="str">
        <f>LEFT(Tabla6[[#This Row],[Periodo]],2)</f>
        <v>Q4</v>
      </c>
      <c r="D49" s="13" t="str">
        <f>RIGHT(Tabla6[[#This Row],[Periodo]],5)</f>
        <v xml:space="preserve"> 2016</v>
      </c>
      <c r="E49" s="37">
        <v>5.3330000000000002</v>
      </c>
      <c r="F49" s="35">
        <v>7.3449999999999998</v>
      </c>
      <c r="G49" s="37">
        <v>3.157</v>
      </c>
      <c r="H49" s="35">
        <v>2.1909999999999998</v>
      </c>
      <c r="I49" s="37">
        <v>2.645</v>
      </c>
      <c r="J49" s="35">
        <v>1.998</v>
      </c>
      <c r="K49" s="37">
        <v>530</v>
      </c>
      <c r="L49" s="39" t="s">
        <v>174</v>
      </c>
      <c r="M49" s="40">
        <v>104</v>
      </c>
      <c r="N49" s="35">
        <v>571</v>
      </c>
      <c r="O49" s="37">
        <v>727</v>
      </c>
      <c r="P49" s="35">
        <v>4.9530000000000003</v>
      </c>
      <c r="Q49" s="37">
        <v>759</v>
      </c>
      <c r="R49" s="35">
        <v>768</v>
      </c>
      <c r="S49" s="37">
        <v>4.6870000000000003</v>
      </c>
      <c r="T49" s="35">
        <v>443</v>
      </c>
      <c r="U49" s="37">
        <v>171</v>
      </c>
      <c r="V49" s="35">
        <v>514</v>
      </c>
      <c r="W49" s="37">
        <v>647</v>
      </c>
      <c r="X49" s="35">
        <v>602</v>
      </c>
      <c r="Y49" s="40">
        <v>201</v>
      </c>
    </row>
    <row r="50" spans="1:25" x14ac:dyDescent="0.35">
      <c r="A50" s="31" t="s">
        <v>1137</v>
      </c>
      <c r="B50" s="20" t="s">
        <v>51</v>
      </c>
      <c r="C50" s="13" t="str">
        <f>LEFT(Tabla6[[#This Row],[Periodo]],2)</f>
        <v>Q1</v>
      </c>
      <c r="D50" s="13" t="str">
        <f>RIGHT(Tabla6[[#This Row],[Periodo]],5)</f>
        <v xml:space="preserve"> 2017</v>
      </c>
      <c r="E50" s="37">
        <v>6.335</v>
      </c>
      <c r="F50" s="35">
        <v>7.2830000000000004</v>
      </c>
      <c r="G50" s="37">
        <v>2.9550000000000001</v>
      </c>
      <c r="H50" s="35">
        <v>2.16</v>
      </c>
      <c r="I50" s="37">
        <v>2.4750000000000001</v>
      </c>
      <c r="J50" s="35">
        <v>1.972</v>
      </c>
      <c r="K50" s="37">
        <v>514</v>
      </c>
      <c r="L50" s="39" t="s">
        <v>174</v>
      </c>
      <c r="M50" s="40">
        <v>102</v>
      </c>
      <c r="N50" s="35">
        <v>500</v>
      </c>
      <c r="O50" s="37">
        <v>734</v>
      </c>
      <c r="P50" s="35">
        <v>4.7649999999999997</v>
      </c>
      <c r="Q50" s="37">
        <v>680</v>
      </c>
      <c r="R50" s="35">
        <v>884</v>
      </c>
      <c r="S50" s="37">
        <v>4.8470000000000004</v>
      </c>
      <c r="T50" s="35">
        <v>462</v>
      </c>
      <c r="U50" s="37">
        <v>142</v>
      </c>
      <c r="V50" s="35">
        <v>488</v>
      </c>
      <c r="W50" s="37">
        <v>681</v>
      </c>
      <c r="X50" s="35">
        <v>663</v>
      </c>
      <c r="Y50" s="40">
        <v>197</v>
      </c>
    </row>
    <row r="51" spans="1:25" x14ac:dyDescent="0.35">
      <c r="A51" s="20" t="s">
        <v>1138</v>
      </c>
      <c r="B51" s="20" t="s">
        <v>52</v>
      </c>
      <c r="C51" s="13" t="str">
        <f>LEFT(Tabla6[[#This Row],[Periodo]],2)</f>
        <v>Q2</v>
      </c>
      <c r="D51" s="13" t="str">
        <f>RIGHT(Tabla6[[#This Row],[Periodo]],5)</f>
        <v xml:space="preserve"> 2017</v>
      </c>
      <c r="E51" s="37">
        <v>6.6369999999999996</v>
      </c>
      <c r="F51" s="35">
        <v>7.9160000000000004</v>
      </c>
      <c r="G51" s="37">
        <v>3.012</v>
      </c>
      <c r="H51" s="35">
        <v>2.2570000000000001</v>
      </c>
      <c r="I51" s="37">
        <v>2.605</v>
      </c>
      <c r="J51" s="35">
        <v>1.95</v>
      </c>
      <c r="K51" s="37">
        <v>557</v>
      </c>
      <c r="L51" s="39" t="s">
        <v>174</v>
      </c>
      <c r="M51" s="40">
        <v>110</v>
      </c>
      <c r="N51" s="35">
        <v>505</v>
      </c>
      <c r="O51" s="37">
        <v>715</v>
      </c>
      <c r="P51" s="35">
        <v>4.99</v>
      </c>
      <c r="Q51" s="37">
        <v>759</v>
      </c>
      <c r="R51" s="35">
        <v>842</v>
      </c>
      <c r="S51" s="37">
        <v>4.9189999999999996</v>
      </c>
      <c r="T51" s="35">
        <v>509</v>
      </c>
      <c r="U51" s="37">
        <v>171</v>
      </c>
      <c r="V51" s="35">
        <v>529</v>
      </c>
      <c r="W51" s="37">
        <v>608</v>
      </c>
      <c r="X51" s="35">
        <v>633</v>
      </c>
      <c r="Y51" s="40">
        <v>192</v>
      </c>
    </row>
    <row r="52" spans="1:25" x14ac:dyDescent="0.35">
      <c r="A52" s="31" t="s">
        <v>1139</v>
      </c>
      <c r="B52" s="20" t="s">
        <v>53</v>
      </c>
      <c r="C52" s="13" t="str">
        <f>LEFT(Tabla6[[#This Row],[Periodo]],2)</f>
        <v>Q3</v>
      </c>
      <c r="D52" s="13" t="str">
        <f>RIGHT(Tabla6[[#This Row],[Periodo]],5)</f>
        <v xml:space="preserve"> 2017</v>
      </c>
      <c r="E52" s="37">
        <v>6.8289999999999997</v>
      </c>
      <c r="F52" s="35">
        <v>7.39</v>
      </c>
      <c r="G52" s="37">
        <v>3.0059999999999998</v>
      </c>
      <c r="H52" s="35">
        <v>2.222</v>
      </c>
      <c r="I52" s="37">
        <v>2.7069999999999999</v>
      </c>
      <c r="J52" s="35">
        <v>1.8129999999999999</v>
      </c>
      <c r="K52" s="37">
        <v>524</v>
      </c>
      <c r="L52" s="39" t="s">
        <v>174</v>
      </c>
      <c r="M52" s="40">
        <v>122</v>
      </c>
      <c r="N52" s="35">
        <v>534</v>
      </c>
      <c r="O52" s="37">
        <v>806</v>
      </c>
      <c r="P52" s="35">
        <v>5.1159999999999997</v>
      </c>
      <c r="Q52" s="37">
        <v>808</v>
      </c>
      <c r="R52" s="35">
        <v>822</v>
      </c>
      <c r="S52" s="37">
        <v>5.0960000000000001</v>
      </c>
      <c r="T52" s="35">
        <v>492</v>
      </c>
      <c r="U52" s="37">
        <v>185</v>
      </c>
      <c r="V52" s="35">
        <v>535</v>
      </c>
      <c r="W52" s="37">
        <v>634</v>
      </c>
      <c r="X52" s="35">
        <v>722</v>
      </c>
      <c r="Y52" s="40">
        <v>193</v>
      </c>
    </row>
    <row r="53" spans="1:25" x14ac:dyDescent="0.35">
      <c r="A53" s="20" t="s">
        <v>1140</v>
      </c>
      <c r="B53" s="20" t="s">
        <v>54</v>
      </c>
      <c r="C53" s="13" t="str">
        <f>LEFT(Tabla6[[#This Row],[Periodo]],2)</f>
        <v>Q4</v>
      </c>
      <c r="D53" s="13" t="str">
        <f>RIGHT(Tabla6[[#This Row],[Periodo]],5)</f>
        <v xml:space="preserve"> 2017</v>
      </c>
      <c r="E53" s="37">
        <v>7.5890000000000004</v>
      </c>
      <c r="F53" s="35">
        <v>7.05</v>
      </c>
      <c r="G53" s="37">
        <v>3.4710000000000001</v>
      </c>
      <c r="H53" s="35">
        <v>2.4089999999999998</v>
      </c>
      <c r="I53" s="37">
        <v>2.774</v>
      </c>
      <c r="J53" s="35">
        <v>2.0680000000000001</v>
      </c>
      <c r="K53" s="37">
        <v>601</v>
      </c>
      <c r="L53" s="39" t="s">
        <v>174</v>
      </c>
      <c r="M53" s="40">
        <v>131</v>
      </c>
      <c r="N53" s="35">
        <v>621</v>
      </c>
      <c r="O53" s="37">
        <v>803</v>
      </c>
      <c r="P53" s="35">
        <v>6.0469999999999997</v>
      </c>
      <c r="Q53" s="37">
        <v>892</v>
      </c>
      <c r="R53" s="35">
        <v>889</v>
      </c>
      <c r="S53" s="37">
        <v>5.2389999999999999</v>
      </c>
      <c r="T53" s="35">
        <v>506</v>
      </c>
      <c r="U53" s="37">
        <v>221</v>
      </c>
      <c r="V53" s="35">
        <v>595</v>
      </c>
      <c r="W53" s="37">
        <v>662</v>
      </c>
      <c r="X53" s="35">
        <v>679</v>
      </c>
      <c r="Y53" s="40">
        <v>208</v>
      </c>
    </row>
    <row r="54" spans="1:25" x14ac:dyDescent="0.35">
      <c r="A54" s="31" t="s">
        <v>1141</v>
      </c>
      <c r="B54" s="20" t="s">
        <v>55</v>
      </c>
      <c r="C54" s="13" t="str">
        <f>LEFT(Tabla6[[#This Row],[Periodo]],2)</f>
        <v>Q1</v>
      </c>
      <c r="D54" s="13" t="str">
        <f>RIGHT(Tabla6[[#This Row],[Periodo]],5)</f>
        <v xml:space="preserve"> 2018</v>
      </c>
      <c r="E54" s="37">
        <v>7.39</v>
      </c>
      <c r="F54" s="35">
        <v>7.3689999999999998</v>
      </c>
      <c r="G54" s="37">
        <v>3.2410000000000001</v>
      </c>
      <c r="H54" s="35">
        <v>2.379</v>
      </c>
      <c r="I54" s="37">
        <v>2.677</v>
      </c>
      <c r="J54" s="35">
        <v>2.0179999999999998</v>
      </c>
      <c r="K54" s="37">
        <v>592</v>
      </c>
      <c r="L54" s="39" t="s">
        <v>174</v>
      </c>
      <c r="M54" s="40">
        <v>124</v>
      </c>
      <c r="N54" s="35">
        <v>552</v>
      </c>
      <c r="O54" s="37">
        <v>791</v>
      </c>
      <c r="P54" s="35">
        <v>5.8529999999999998</v>
      </c>
      <c r="Q54" s="37">
        <v>848</v>
      </c>
      <c r="R54" s="35">
        <v>895</v>
      </c>
      <c r="S54" s="37">
        <v>4.8869999999999996</v>
      </c>
      <c r="T54" s="35">
        <v>538</v>
      </c>
      <c r="U54" s="37">
        <v>184</v>
      </c>
      <c r="V54" s="35">
        <v>587</v>
      </c>
      <c r="W54" s="37">
        <v>716</v>
      </c>
      <c r="X54" s="35">
        <v>730</v>
      </c>
      <c r="Y54" s="40">
        <v>213</v>
      </c>
    </row>
    <row r="55" spans="1:25" x14ac:dyDescent="0.35">
      <c r="A55" s="20" t="s">
        <v>1142</v>
      </c>
      <c r="B55" s="20" t="s">
        <v>56</v>
      </c>
      <c r="C55" s="13" t="str">
        <f>LEFT(Tabla6[[#This Row],[Periodo]],2)</f>
        <v>Q2</v>
      </c>
      <c r="D55" s="13" t="str">
        <f>RIGHT(Tabla6[[#This Row],[Periodo]],5)</f>
        <v xml:space="preserve"> 2018</v>
      </c>
      <c r="E55" s="37">
        <v>7.7670000000000003</v>
      </c>
      <c r="F55" s="35">
        <v>8.1440000000000001</v>
      </c>
      <c r="G55" s="37">
        <v>3.3220000000000001</v>
      </c>
      <c r="H55" s="35">
        <v>2.4900000000000002</v>
      </c>
      <c r="I55" s="37">
        <v>2.8420000000000001</v>
      </c>
      <c r="J55" s="35">
        <v>2.008</v>
      </c>
      <c r="K55" s="37">
        <v>624</v>
      </c>
      <c r="L55" s="39" t="s">
        <v>174</v>
      </c>
      <c r="M55" s="40">
        <v>124</v>
      </c>
      <c r="N55" s="35">
        <v>576</v>
      </c>
      <c r="O55" s="37">
        <v>789</v>
      </c>
      <c r="P55" s="35">
        <v>6.0780000000000003</v>
      </c>
      <c r="Q55" s="37">
        <v>909</v>
      </c>
      <c r="R55" s="35">
        <v>944</v>
      </c>
      <c r="S55" s="37">
        <v>5.0250000000000004</v>
      </c>
      <c r="T55" s="35">
        <v>581</v>
      </c>
      <c r="U55" s="37">
        <v>243</v>
      </c>
      <c r="V55" s="35">
        <v>610</v>
      </c>
      <c r="W55" s="37">
        <v>639</v>
      </c>
      <c r="X55" s="35">
        <v>709</v>
      </c>
      <c r="Y55" s="40">
        <v>212</v>
      </c>
    </row>
    <row r="56" spans="1:25" x14ac:dyDescent="0.35">
      <c r="A56" s="31" t="s">
        <v>1143</v>
      </c>
      <c r="B56" s="20" t="s">
        <v>57</v>
      </c>
      <c r="C56" s="13" t="str">
        <f>LEFT(Tabla6[[#This Row],[Periodo]],2)</f>
        <v>Q3</v>
      </c>
      <c r="D56" s="13" t="str">
        <f>RIGHT(Tabla6[[#This Row],[Periodo]],5)</f>
        <v xml:space="preserve"> 2018</v>
      </c>
      <c r="E56" s="37">
        <v>7.6559999999999997</v>
      </c>
      <c r="F56" s="35">
        <v>7.3840000000000003</v>
      </c>
      <c r="G56" s="37">
        <v>3.242</v>
      </c>
      <c r="H56" s="35">
        <v>2.3929999999999998</v>
      </c>
      <c r="I56" s="37">
        <v>2.7669999999999999</v>
      </c>
      <c r="J56" s="35">
        <v>1.837</v>
      </c>
      <c r="K56" s="37">
        <v>588</v>
      </c>
      <c r="L56" s="39" t="s">
        <v>174</v>
      </c>
      <c r="M56" s="40">
        <v>151</v>
      </c>
      <c r="N56" s="35">
        <v>545</v>
      </c>
      <c r="O56" s="37">
        <v>824</v>
      </c>
      <c r="P56" s="35">
        <v>5.92</v>
      </c>
      <c r="Q56" s="37">
        <v>921</v>
      </c>
      <c r="R56" s="35">
        <v>907</v>
      </c>
      <c r="S56" s="37">
        <v>4.718</v>
      </c>
      <c r="T56" s="35">
        <v>545</v>
      </c>
      <c r="U56" s="37">
        <v>267</v>
      </c>
      <c r="V56" s="35">
        <v>610</v>
      </c>
      <c r="W56" s="37">
        <v>679</v>
      </c>
      <c r="X56" s="35">
        <v>802</v>
      </c>
      <c r="Y56" s="40">
        <v>211</v>
      </c>
    </row>
    <row r="57" spans="1:25" x14ac:dyDescent="0.35">
      <c r="A57" s="20" t="s">
        <v>1144</v>
      </c>
      <c r="B57" s="20" t="s">
        <v>58</v>
      </c>
      <c r="C57" s="13" t="str">
        <f>LEFT(Tabla6[[#This Row],[Periodo]],2)</f>
        <v>Q4</v>
      </c>
      <c r="D57" s="13" t="str">
        <f>RIGHT(Tabla6[[#This Row],[Periodo]],5)</f>
        <v xml:space="preserve"> 2018</v>
      </c>
      <c r="E57" s="37">
        <v>7.7649999999999997</v>
      </c>
      <c r="F57" s="35">
        <v>7.4809999999999999</v>
      </c>
      <c r="G57" s="37">
        <v>3.7959999999999998</v>
      </c>
      <c r="H57" s="35">
        <v>2.5609999999999999</v>
      </c>
      <c r="I57" s="37">
        <v>2.8410000000000002</v>
      </c>
      <c r="J57" s="35">
        <v>2.0710000000000002</v>
      </c>
      <c r="K57" s="37">
        <v>651</v>
      </c>
      <c r="L57" s="39" t="s">
        <v>174</v>
      </c>
      <c r="M57" s="40">
        <v>165</v>
      </c>
      <c r="N57" s="35">
        <v>617</v>
      </c>
      <c r="O57" s="37">
        <v>814</v>
      </c>
      <c r="P57" s="35">
        <v>6.5069999999999997</v>
      </c>
      <c r="Q57" s="37">
        <v>1.0469999999999999</v>
      </c>
      <c r="R57" s="35">
        <v>978</v>
      </c>
      <c r="S57" s="37">
        <v>4.9119999999999999</v>
      </c>
      <c r="T57" s="35">
        <v>549</v>
      </c>
      <c r="U57" s="37">
        <v>338</v>
      </c>
      <c r="V57" s="35">
        <v>642</v>
      </c>
      <c r="W57" s="37">
        <v>696</v>
      </c>
      <c r="X57" s="35">
        <v>741</v>
      </c>
      <c r="Y57" s="40">
        <v>223</v>
      </c>
    </row>
    <row r="58" spans="1:25" x14ac:dyDescent="0.35">
      <c r="A58" s="31" t="s">
        <v>1145</v>
      </c>
      <c r="B58" s="20" t="s">
        <v>59</v>
      </c>
      <c r="C58" s="13" t="str">
        <f>LEFT(Tabla6[[#This Row],[Periodo]],2)</f>
        <v>Q1</v>
      </c>
      <c r="D58" s="13" t="str">
        <f>RIGHT(Tabla6[[#This Row],[Periodo]],5)</f>
        <v xml:space="preserve"> 2019</v>
      </c>
      <c r="E58" s="37">
        <v>7.5350000000000001</v>
      </c>
      <c r="F58" s="35">
        <v>7.5460000000000003</v>
      </c>
      <c r="G58" s="37">
        <v>3.516</v>
      </c>
      <c r="H58" s="35">
        <v>2.4929999999999999</v>
      </c>
      <c r="I58" s="37">
        <v>2.6320000000000001</v>
      </c>
      <c r="J58" s="35">
        <v>1.976</v>
      </c>
      <c r="K58" s="37">
        <v>662</v>
      </c>
      <c r="L58" s="39" t="s">
        <v>174</v>
      </c>
      <c r="M58" s="40">
        <v>160</v>
      </c>
      <c r="N58" s="35">
        <v>554</v>
      </c>
      <c r="O58" s="37">
        <v>831</v>
      </c>
      <c r="P58" s="35">
        <v>6.125</v>
      </c>
      <c r="Q58" s="37">
        <v>974</v>
      </c>
      <c r="R58" s="35">
        <v>993</v>
      </c>
      <c r="S58" s="37">
        <v>4.694</v>
      </c>
      <c r="T58" s="35">
        <v>576</v>
      </c>
      <c r="U58" s="37">
        <v>281</v>
      </c>
      <c r="V58" s="35">
        <v>614</v>
      </c>
      <c r="W58" s="37">
        <v>768</v>
      </c>
      <c r="X58" s="35">
        <v>779</v>
      </c>
      <c r="Y58" s="40">
        <v>232</v>
      </c>
    </row>
    <row r="59" spans="1:25" x14ac:dyDescent="0.35">
      <c r="A59" s="20" t="s">
        <v>1146</v>
      </c>
      <c r="B59" s="20" t="s">
        <v>60</v>
      </c>
      <c r="C59" s="13" t="str">
        <f>LEFT(Tabla6[[#This Row],[Periodo]],2)</f>
        <v>Q2</v>
      </c>
      <c r="D59" s="13" t="str">
        <f>RIGHT(Tabla6[[#This Row],[Periodo]],5)</f>
        <v xml:space="preserve"> 2019</v>
      </c>
      <c r="E59" s="37">
        <v>7.9790000000000001</v>
      </c>
      <c r="F59" s="35">
        <v>8.1460000000000008</v>
      </c>
      <c r="G59" s="37">
        <v>3.65</v>
      </c>
      <c r="H59" s="35">
        <v>2.6309999999999998</v>
      </c>
      <c r="I59" s="37">
        <v>2.84</v>
      </c>
      <c r="J59" s="35">
        <v>1.9890000000000001</v>
      </c>
      <c r="K59" s="37">
        <v>705</v>
      </c>
      <c r="L59" s="39" t="s">
        <v>174</v>
      </c>
      <c r="M59" s="40">
        <v>177</v>
      </c>
      <c r="N59" s="35">
        <v>573</v>
      </c>
      <c r="O59" s="37">
        <v>818</v>
      </c>
      <c r="P59" s="35">
        <v>6.3159999999999998</v>
      </c>
      <c r="Q59" s="37">
        <v>1.099</v>
      </c>
      <c r="R59" s="35">
        <v>1.087</v>
      </c>
      <c r="S59" s="37">
        <v>4.8840000000000003</v>
      </c>
      <c r="T59" s="35">
        <v>620</v>
      </c>
      <c r="U59" s="37">
        <v>336</v>
      </c>
      <c r="V59" s="35">
        <v>653</v>
      </c>
      <c r="W59" s="37">
        <v>697</v>
      </c>
      <c r="X59" s="35">
        <v>826</v>
      </c>
      <c r="Y59" s="40">
        <v>230</v>
      </c>
    </row>
    <row r="60" spans="1:25" x14ac:dyDescent="0.35">
      <c r="A60" s="31" t="s">
        <v>1147</v>
      </c>
      <c r="B60" s="24" t="s">
        <v>61</v>
      </c>
      <c r="C60" s="33" t="str">
        <f>LEFT(Tabla6[[#This Row],[Periodo]],2)</f>
        <v>Q3</v>
      </c>
      <c r="D60" s="33" t="str">
        <f>RIGHT(Tabla6[[#This Row],[Periodo]],5)</f>
        <v xml:space="preserve"> 2019</v>
      </c>
      <c r="E60" s="37">
        <v>8.0760000000000005</v>
      </c>
      <c r="F60" s="41">
        <v>7.4930000000000003</v>
      </c>
      <c r="G60" s="42">
        <v>3.5870000000000002</v>
      </c>
      <c r="H60" s="41">
        <v>2.7069999999999999</v>
      </c>
      <c r="I60" s="42">
        <v>2.851</v>
      </c>
      <c r="J60" s="41">
        <v>1.8919999999999999</v>
      </c>
      <c r="K60" s="42">
        <v>681</v>
      </c>
      <c r="L60" s="43" t="s">
        <v>174</v>
      </c>
      <c r="M60" s="44">
        <v>192</v>
      </c>
      <c r="N60" s="41">
        <v>561</v>
      </c>
      <c r="O60" s="42">
        <v>852</v>
      </c>
      <c r="P60" s="41">
        <v>6.2720000000000002</v>
      </c>
      <c r="Q60" s="42">
        <v>1.1279999999999999</v>
      </c>
      <c r="R60" s="41">
        <v>1.0940000000000001</v>
      </c>
      <c r="S60" s="42">
        <v>4.9139999999999997</v>
      </c>
      <c r="T60" s="41">
        <v>605</v>
      </c>
      <c r="U60" s="42">
        <v>396</v>
      </c>
      <c r="V60" s="41">
        <v>648</v>
      </c>
      <c r="W60" s="42">
        <v>737</v>
      </c>
      <c r="X60" s="41">
        <v>879</v>
      </c>
      <c r="Y60" s="44">
        <v>229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5F0C-B82B-42DE-9C15-69AE02918BE6}">
  <dimension ref="A2:E20"/>
  <sheetViews>
    <sheetView workbookViewId="0">
      <selection activeCell="E6" sqref="E6"/>
    </sheetView>
  </sheetViews>
  <sheetFormatPr baseColWidth="10" defaultRowHeight="14.5" x14ac:dyDescent="0.35"/>
  <cols>
    <col min="1" max="1" width="17.1796875" bestFit="1" customWidth="1"/>
    <col min="2" max="2" width="17.54296875" bestFit="1" customWidth="1"/>
    <col min="3" max="3" width="23.1796875" bestFit="1" customWidth="1"/>
    <col min="4" max="4" width="29.1796875" bestFit="1" customWidth="1"/>
    <col min="5" max="5" width="14.7265625" bestFit="1" customWidth="1"/>
    <col min="6" max="6" width="22.36328125" bestFit="1" customWidth="1"/>
    <col min="7" max="7" width="27.90625" bestFit="1" customWidth="1"/>
    <col min="8" max="8" width="33.90625" bestFit="1" customWidth="1"/>
    <col min="9" max="9" width="19.453125" bestFit="1" customWidth="1"/>
    <col min="10" max="10" width="22.36328125" bestFit="1" customWidth="1"/>
    <col min="11" max="11" width="27.90625" bestFit="1" customWidth="1"/>
    <col min="12" max="60" width="7.453125" bestFit="1" customWidth="1"/>
    <col min="61" max="61" width="12" bestFit="1" customWidth="1"/>
  </cols>
  <sheetData>
    <row r="2" spans="1:5" x14ac:dyDescent="0.35">
      <c r="A2" s="10" t="s">
        <v>619</v>
      </c>
      <c r="B2" t="s">
        <v>617</v>
      </c>
    </row>
    <row r="4" spans="1:5" x14ac:dyDescent="0.35">
      <c r="A4" s="10" t="s">
        <v>614</v>
      </c>
      <c r="B4" t="s">
        <v>1199</v>
      </c>
      <c r="C4" t="s">
        <v>1200</v>
      </c>
      <c r="D4" t="s">
        <v>1201</v>
      </c>
      <c r="E4" t="s">
        <v>1202</v>
      </c>
    </row>
    <row r="5" spans="1:5" x14ac:dyDescent="0.35">
      <c r="A5" s="11" t="s">
        <v>622</v>
      </c>
      <c r="B5">
        <v>10.764000000000001</v>
      </c>
      <c r="C5">
        <v>2559</v>
      </c>
      <c r="D5">
        <v>6.7680000000000007</v>
      </c>
      <c r="E5">
        <v>1116</v>
      </c>
    </row>
    <row r="6" spans="1:5" x14ac:dyDescent="0.35">
      <c r="A6" s="11" t="s">
        <v>623</v>
      </c>
      <c r="B6">
        <v>11.809000000000001</v>
      </c>
      <c r="C6">
        <v>2779</v>
      </c>
      <c r="D6">
        <v>8.5009999999999994</v>
      </c>
      <c r="E6">
        <v>1179</v>
      </c>
    </row>
    <row r="7" spans="1:5" x14ac:dyDescent="0.35">
      <c r="A7" s="11" t="s">
        <v>624</v>
      </c>
      <c r="B7">
        <v>12.578000000000001</v>
      </c>
      <c r="C7">
        <v>3369</v>
      </c>
      <c r="D7">
        <v>9.7199999999999989</v>
      </c>
      <c r="E7">
        <v>1240</v>
      </c>
    </row>
    <row r="8" spans="1:5" x14ac:dyDescent="0.35">
      <c r="A8" s="11" t="s">
        <v>625</v>
      </c>
      <c r="B8">
        <v>14.54</v>
      </c>
      <c r="C8">
        <v>2802</v>
      </c>
      <c r="D8">
        <v>10.612</v>
      </c>
      <c r="E8">
        <v>1329</v>
      </c>
    </row>
    <row r="9" spans="1:5" x14ac:dyDescent="0.35">
      <c r="A9" s="11" t="s">
        <v>626</v>
      </c>
      <c r="B9">
        <v>15.094000000000001</v>
      </c>
      <c r="C9">
        <v>2707.0659999999998</v>
      </c>
      <c r="D9">
        <v>11.247999999999999</v>
      </c>
      <c r="E9">
        <v>1270</v>
      </c>
    </row>
    <row r="10" spans="1:5" x14ac:dyDescent="0.35">
      <c r="A10" s="11" t="s">
        <v>627</v>
      </c>
      <c r="B10">
        <v>15.297000000000001</v>
      </c>
      <c r="C10">
        <v>2896.067</v>
      </c>
      <c r="D10">
        <v>12.052999999999999</v>
      </c>
      <c r="E10">
        <v>1161</v>
      </c>
    </row>
    <row r="11" spans="1:5" x14ac:dyDescent="0.35">
      <c r="A11" s="11" t="s">
        <v>628</v>
      </c>
      <c r="B11">
        <v>15.801</v>
      </c>
      <c r="C11">
        <v>4.2699999999999996</v>
      </c>
      <c r="D11">
        <v>12.795000000000002</v>
      </c>
      <c r="E11">
        <v>1395</v>
      </c>
    </row>
    <row r="12" spans="1:5" x14ac:dyDescent="0.35">
      <c r="A12" s="11" t="s">
        <v>629</v>
      </c>
      <c r="B12">
        <v>16.317999999999998</v>
      </c>
      <c r="C12">
        <v>955.18499999999995</v>
      </c>
      <c r="D12">
        <v>13.800999999999998</v>
      </c>
      <c r="E12">
        <v>1463</v>
      </c>
    </row>
    <row r="13" spans="1:5" x14ac:dyDescent="0.35">
      <c r="A13" s="11" t="s">
        <v>630</v>
      </c>
      <c r="B13">
        <v>16.763999999999999</v>
      </c>
      <c r="C13">
        <v>4.351</v>
      </c>
      <c r="D13">
        <v>14.61</v>
      </c>
      <c r="E13">
        <v>1586</v>
      </c>
    </row>
    <row r="14" spans="1:5" x14ac:dyDescent="0.35">
      <c r="A14" s="11" t="s">
        <v>631</v>
      </c>
      <c r="B14">
        <v>17.367000000000001</v>
      </c>
      <c r="C14">
        <v>4.6169999999999991</v>
      </c>
      <c r="D14">
        <v>15.832000000000001</v>
      </c>
      <c r="E14">
        <v>1814</v>
      </c>
    </row>
    <row r="15" spans="1:5" x14ac:dyDescent="0.35">
      <c r="A15" s="11" t="s">
        <v>632</v>
      </c>
      <c r="B15">
        <v>25.954000000000001</v>
      </c>
      <c r="C15">
        <v>0</v>
      </c>
      <c r="D15">
        <v>16.738</v>
      </c>
      <c r="E15">
        <v>2051</v>
      </c>
    </row>
    <row r="16" spans="1:5" x14ac:dyDescent="0.35">
      <c r="A16" s="11" t="s">
        <v>633</v>
      </c>
      <c r="B16">
        <v>29.012</v>
      </c>
      <c r="C16">
        <v>0</v>
      </c>
      <c r="D16">
        <v>17.91</v>
      </c>
      <c r="E16">
        <v>2621</v>
      </c>
    </row>
    <row r="17" spans="1:5" x14ac:dyDescent="0.35">
      <c r="A17" s="11" t="s">
        <v>634</v>
      </c>
      <c r="B17">
        <v>29.639000000000003</v>
      </c>
      <c r="C17">
        <v>0</v>
      </c>
      <c r="D17">
        <v>20.100999999999999</v>
      </c>
      <c r="E17">
        <v>2585</v>
      </c>
    </row>
    <row r="18" spans="1:5" x14ac:dyDescent="0.35">
      <c r="A18" s="11" t="s">
        <v>635</v>
      </c>
      <c r="B18">
        <v>30.378</v>
      </c>
      <c r="C18">
        <v>0</v>
      </c>
      <c r="D18">
        <v>19.541999999999998</v>
      </c>
      <c r="E18">
        <v>2730</v>
      </c>
    </row>
    <row r="19" spans="1:5" x14ac:dyDescent="0.35">
      <c r="A19" s="11" t="s">
        <v>636</v>
      </c>
      <c r="B19">
        <v>23.185000000000002</v>
      </c>
      <c r="C19">
        <v>0</v>
      </c>
      <c r="D19">
        <v>14.491999999999999</v>
      </c>
      <c r="E19">
        <v>2202</v>
      </c>
    </row>
    <row r="20" spans="1:5" x14ac:dyDescent="0.35">
      <c r="A20" s="11" t="s">
        <v>615</v>
      </c>
      <c r="B20">
        <v>284.5</v>
      </c>
      <c r="C20">
        <v>18080.555999999997</v>
      </c>
      <c r="D20">
        <v>204.72299999999998</v>
      </c>
      <c r="E20">
        <v>25742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1677-41D9-493D-ACD4-C40158002492}">
  <dimension ref="A3:R35"/>
  <sheetViews>
    <sheetView zoomScale="85" zoomScaleNormal="85" workbookViewId="0">
      <selection activeCell="K4" sqref="K4"/>
    </sheetView>
  </sheetViews>
  <sheetFormatPr baseColWidth="10" defaultRowHeight="14.5" x14ac:dyDescent="0.35"/>
  <cols>
    <col min="1" max="1" width="17.1796875" bestFit="1" customWidth="1"/>
    <col min="2" max="2" width="10.453125" bestFit="1" customWidth="1"/>
    <col min="3" max="3" width="7.81640625" bestFit="1" customWidth="1"/>
    <col min="4" max="4" width="16.08984375" bestFit="1" customWidth="1"/>
    <col min="5" max="5" width="7.81640625" bestFit="1" customWidth="1"/>
    <col min="6" max="6" width="14.453125" bestFit="1" customWidth="1"/>
    <col min="7" max="7" width="8.26953125" bestFit="1" customWidth="1"/>
    <col min="8" max="8" width="8" bestFit="1" customWidth="1"/>
    <col min="9" max="9" width="8.81640625" bestFit="1" customWidth="1"/>
    <col min="10" max="10" width="7.90625" bestFit="1" customWidth="1"/>
    <col min="11" max="11" width="7.36328125" bestFit="1" customWidth="1"/>
    <col min="12" max="12" width="11.453125" bestFit="1" customWidth="1"/>
    <col min="13" max="13" width="22.453125" bestFit="1" customWidth="1"/>
    <col min="14" max="14" width="15.90625" bestFit="1" customWidth="1"/>
    <col min="15" max="15" width="18.08984375" bestFit="1" customWidth="1"/>
    <col min="16" max="16" width="9.90625" bestFit="1" customWidth="1"/>
    <col min="17" max="17" width="8.26953125" bestFit="1" customWidth="1"/>
    <col min="18" max="18" width="13.7265625" bestFit="1" customWidth="1"/>
  </cols>
  <sheetData>
    <row r="3" spans="1:18" x14ac:dyDescent="0.35">
      <c r="A3" s="10" t="s">
        <v>614</v>
      </c>
      <c r="B3" t="s">
        <v>1158</v>
      </c>
      <c r="C3" t="s">
        <v>1159</v>
      </c>
      <c r="D3" t="s">
        <v>1160</v>
      </c>
      <c r="E3" t="s">
        <v>1161</v>
      </c>
      <c r="F3" t="s">
        <v>1162</v>
      </c>
      <c r="G3" t="s">
        <v>1163</v>
      </c>
      <c r="H3" t="s">
        <v>1164</v>
      </c>
      <c r="I3" t="s">
        <v>1165</v>
      </c>
      <c r="J3" t="s">
        <v>1166</v>
      </c>
      <c r="K3" t="s">
        <v>1167</v>
      </c>
      <c r="L3" t="s">
        <v>1168</v>
      </c>
      <c r="M3" t="s">
        <v>1169</v>
      </c>
      <c r="N3" t="s">
        <v>1170</v>
      </c>
      <c r="O3" t="s">
        <v>1171</v>
      </c>
      <c r="P3" t="s">
        <v>1172</v>
      </c>
      <c r="Q3" t="s">
        <v>1173</v>
      </c>
      <c r="R3" t="s">
        <v>1174</v>
      </c>
    </row>
    <row r="4" spans="1:18" x14ac:dyDescent="0.35">
      <c r="A4" s="11" t="s">
        <v>622</v>
      </c>
      <c r="B4">
        <v>22.338000000000001</v>
      </c>
      <c r="C4">
        <v>4.6100000000000003</v>
      </c>
      <c r="D4">
        <v>6.2830000000000004</v>
      </c>
      <c r="E4">
        <v>9.8490000000000002</v>
      </c>
      <c r="F4">
        <v>3287</v>
      </c>
      <c r="G4">
        <v>506</v>
      </c>
      <c r="H4">
        <v>0</v>
      </c>
      <c r="I4">
        <v>0</v>
      </c>
      <c r="J4">
        <v>221</v>
      </c>
      <c r="K4">
        <v>0</v>
      </c>
      <c r="L4">
        <v>1180</v>
      </c>
      <c r="M4">
        <v>2633</v>
      </c>
      <c r="N4">
        <v>228</v>
      </c>
      <c r="O4">
        <v>998</v>
      </c>
      <c r="P4">
        <v>638</v>
      </c>
      <c r="Q4">
        <v>2515</v>
      </c>
      <c r="R4">
        <v>1418</v>
      </c>
    </row>
    <row r="5" spans="1:18" x14ac:dyDescent="0.35">
      <c r="A5" s="11" t="s">
        <v>623</v>
      </c>
      <c r="B5">
        <v>22.475999999999999</v>
      </c>
      <c r="C5">
        <v>5.1470000000000002</v>
      </c>
      <c r="D5">
        <v>7.8209999999999997</v>
      </c>
      <c r="E5">
        <v>10.378</v>
      </c>
      <c r="F5">
        <v>3496</v>
      </c>
      <c r="G5">
        <v>675</v>
      </c>
      <c r="H5">
        <v>114</v>
      </c>
      <c r="I5">
        <v>2</v>
      </c>
      <c r="J5">
        <v>463</v>
      </c>
      <c r="K5">
        <v>4</v>
      </c>
      <c r="L5">
        <v>1274</v>
      </c>
      <c r="M5">
        <v>2124.6689999999999</v>
      </c>
      <c r="N5">
        <v>373</v>
      </c>
      <c r="O5">
        <v>1037</v>
      </c>
      <c r="P5">
        <v>738</v>
      </c>
      <c r="Q5">
        <v>2305</v>
      </c>
      <c r="R5">
        <v>1652</v>
      </c>
    </row>
    <row r="6" spans="1:18" x14ac:dyDescent="0.35">
      <c r="A6" s="11" t="s">
        <v>624</v>
      </c>
      <c r="B6">
        <v>25.914999999999999</v>
      </c>
      <c r="C6">
        <v>6.0009999999999994</v>
      </c>
      <c r="D6">
        <v>8.3569999999999993</v>
      </c>
      <c r="E6">
        <v>11.263</v>
      </c>
      <c r="F6">
        <v>2825.0740000000001</v>
      </c>
      <c r="G6">
        <v>763</v>
      </c>
      <c r="H6">
        <v>256</v>
      </c>
      <c r="I6">
        <v>5</v>
      </c>
      <c r="J6">
        <v>739</v>
      </c>
      <c r="K6">
        <v>13</v>
      </c>
      <c r="L6">
        <v>1462</v>
      </c>
      <c r="M6">
        <v>9.7460000000000004</v>
      </c>
      <c r="N6">
        <v>600</v>
      </c>
      <c r="O6">
        <v>1091</v>
      </c>
      <c r="P6">
        <v>922</v>
      </c>
      <c r="Q6">
        <v>1575</v>
      </c>
      <c r="R6">
        <v>1819</v>
      </c>
    </row>
    <row r="7" spans="1:18" x14ac:dyDescent="0.35">
      <c r="A7" s="11" t="s">
        <v>625</v>
      </c>
      <c r="B7">
        <v>29.527999999999999</v>
      </c>
      <c r="C7">
        <v>6.718</v>
      </c>
      <c r="D7">
        <v>8.0500000000000007</v>
      </c>
      <c r="E7">
        <v>12.347999999999999</v>
      </c>
      <c r="F7">
        <v>955.16899999999998</v>
      </c>
      <c r="G7">
        <v>888</v>
      </c>
      <c r="H7">
        <v>307</v>
      </c>
      <c r="I7">
        <v>10</v>
      </c>
      <c r="J7">
        <v>1674</v>
      </c>
      <c r="K7">
        <v>36</v>
      </c>
      <c r="L7">
        <v>1764</v>
      </c>
      <c r="M7">
        <v>10.497999999999999</v>
      </c>
      <c r="N7">
        <v>875</v>
      </c>
      <c r="O7">
        <v>1239</v>
      </c>
      <c r="P7">
        <v>1024</v>
      </c>
      <c r="Q7">
        <v>1912</v>
      </c>
      <c r="R7">
        <v>2127</v>
      </c>
    </row>
    <row r="8" spans="1:18" x14ac:dyDescent="0.35">
      <c r="A8" s="11" t="s">
        <v>626</v>
      </c>
      <c r="B8">
        <v>30.763999999999999</v>
      </c>
      <c r="C8">
        <v>6.7219999999999995</v>
      </c>
      <c r="D8">
        <v>8.1880000000000006</v>
      </c>
      <c r="E8">
        <v>12.562000000000001</v>
      </c>
      <c r="F8">
        <v>1971.127</v>
      </c>
      <c r="G8">
        <v>1002</v>
      </c>
      <c r="H8">
        <v>349</v>
      </c>
      <c r="I8">
        <v>29</v>
      </c>
      <c r="J8">
        <v>1637</v>
      </c>
      <c r="K8">
        <v>66</v>
      </c>
      <c r="L8">
        <v>1784</v>
      </c>
      <c r="M8">
        <v>9.9109999999999996</v>
      </c>
      <c r="N8">
        <v>1052</v>
      </c>
      <c r="O8">
        <v>1323</v>
      </c>
      <c r="P8">
        <v>1031</v>
      </c>
      <c r="Q8">
        <v>1435</v>
      </c>
      <c r="R8">
        <v>2247</v>
      </c>
    </row>
    <row r="9" spans="1:18" x14ac:dyDescent="0.35">
      <c r="A9" s="11" t="s">
        <v>627</v>
      </c>
      <c r="B9">
        <v>35.167000000000002</v>
      </c>
      <c r="C9">
        <v>7.32</v>
      </c>
      <c r="D9">
        <v>7.806</v>
      </c>
      <c r="E9">
        <v>12.843</v>
      </c>
      <c r="F9">
        <v>968.25599999999997</v>
      </c>
      <c r="G9">
        <v>1159</v>
      </c>
      <c r="H9">
        <v>406</v>
      </c>
      <c r="I9">
        <v>50</v>
      </c>
      <c r="J9">
        <v>1679</v>
      </c>
      <c r="K9">
        <v>97</v>
      </c>
      <c r="L9">
        <v>1928</v>
      </c>
      <c r="M9">
        <v>10.394</v>
      </c>
      <c r="N9">
        <v>1413</v>
      </c>
      <c r="O9">
        <v>1447</v>
      </c>
      <c r="P9">
        <v>1104</v>
      </c>
      <c r="Q9">
        <v>1397</v>
      </c>
      <c r="R9">
        <v>2396</v>
      </c>
    </row>
    <row r="10" spans="1:18" x14ac:dyDescent="0.35">
      <c r="A10" s="11" t="s">
        <v>628</v>
      </c>
      <c r="B10">
        <v>38.850999999999999</v>
      </c>
      <c r="C10">
        <v>8.3070000000000004</v>
      </c>
      <c r="D10">
        <v>7.6220000000000008</v>
      </c>
      <c r="E10">
        <v>13.892999999999999</v>
      </c>
      <c r="F10">
        <v>4.452</v>
      </c>
      <c r="G10">
        <v>1303</v>
      </c>
      <c r="H10">
        <v>439</v>
      </c>
      <c r="I10">
        <v>75</v>
      </c>
      <c r="J10">
        <v>1790</v>
      </c>
      <c r="K10">
        <v>152</v>
      </c>
      <c r="L10">
        <v>2074</v>
      </c>
      <c r="M10">
        <v>11.558999999999999</v>
      </c>
      <c r="N10">
        <v>1758</v>
      </c>
      <c r="O10">
        <v>1679</v>
      </c>
      <c r="P10">
        <v>1219</v>
      </c>
      <c r="Q10">
        <v>1493</v>
      </c>
      <c r="R10">
        <v>2641</v>
      </c>
    </row>
    <row r="11" spans="1:18" x14ac:dyDescent="0.35">
      <c r="A11" s="11" t="s">
        <v>629</v>
      </c>
      <c r="B11">
        <v>19.049999999999997</v>
      </c>
      <c r="C11">
        <v>8.657</v>
      </c>
      <c r="D11">
        <v>7.2490000000000006</v>
      </c>
      <c r="E11">
        <v>13.936</v>
      </c>
      <c r="F11">
        <v>4.4729999999999999</v>
      </c>
      <c r="G11">
        <v>1438</v>
      </c>
      <c r="H11">
        <v>493</v>
      </c>
      <c r="I11">
        <v>99</v>
      </c>
      <c r="J11">
        <v>2002</v>
      </c>
      <c r="K11">
        <v>212</v>
      </c>
      <c r="L11">
        <v>2069</v>
      </c>
      <c r="M11">
        <v>12.51</v>
      </c>
      <c r="N11">
        <v>2179</v>
      </c>
      <c r="O11">
        <v>1900</v>
      </c>
      <c r="P11">
        <v>1294</v>
      </c>
      <c r="Q11">
        <v>1551</v>
      </c>
      <c r="R11">
        <v>2859</v>
      </c>
    </row>
    <row r="12" spans="1:18" x14ac:dyDescent="0.35">
      <c r="A12" s="11" t="s">
        <v>630</v>
      </c>
      <c r="B12">
        <v>19.657</v>
      </c>
      <c r="C12">
        <v>9.0210000000000008</v>
      </c>
      <c r="D12">
        <v>7.1429999999999998</v>
      </c>
      <c r="E12">
        <v>15.149000000000001</v>
      </c>
      <c r="F12">
        <v>4.6240000000000006</v>
      </c>
      <c r="G12">
        <v>1541</v>
      </c>
      <c r="H12">
        <v>546</v>
      </c>
      <c r="I12">
        <v>161</v>
      </c>
      <c r="J12">
        <v>2492</v>
      </c>
      <c r="K12">
        <v>247</v>
      </c>
      <c r="L12">
        <v>2133</v>
      </c>
      <c r="M12">
        <v>13.091000000000001</v>
      </c>
      <c r="N12">
        <v>2265</v>
      </c>
      <c r="O12">
        <v>2046</v>
      </c>
      <c r="P12">
        <v>1377</v>
      </c>
      <c r="Q12">
        <v>1697</v>
      </c>
      <c r="R12">
        <v>2976</v>
      </c>
    </row>
    <row r="13" spans="1:18" x14ac:dyDescent="0.35">
      <c r="A13" s="11" t="s">
        <v>631</v>
      </c>
      <c r="B13">
        <v>20.247</v>
      </c>
      <c r="C13">
        <v>9.6750000000000007</v>
      </c>
      <c r="D13">
        <v>7.3800000000000008</v>
      </c>
      <c r="E13">
        <v>13.499999999999998</v>
      </c>
      <c r="F13">
        <v>4.6739999999999995</v>
      </c>
      <c r="G13">
        <v>1616</v>
      </c>
      <c r="H13">
        <v>587</v>
      </c>
      <c r="I13">
        <v>259</v>
      </c>
      <c r="J13">
        <v>2532</v>
      </c>
      <c r="K13">
        <v>231</v>
      </c>
      <c r="L13">
        <v>2175</v>
      </c>
      <c r="M13">
        <v>16.89</v>
      </c>
      <c r="N13">
        <v>2132</v>
      </c>
      <c r="O13">
        <v>2322</v>
      </c>
      <c r="P13">
        <v>1486</v>
      </c>
      <c r="Q13">
        <v>1840</v>
      </c>
      <c r="R13">
        <v>3077</v>
      </c>
    </row>
    <row r="14" spans="1:18" x14ac:dyDescent="0.35">
      <c r="A14" s="11" t="s">
        <v>632</v>
      </c>
      <c r="B14">
        <v>20.405000000000001</v>
      </c>
      <c r="C14">
        <v>9.9459999999999997</v>
      </c>
      <c r="D14">
        <v>7.4769999999999994</v>
      </c>
      <c r="E14">
        <v>9.968</v>
      </c>
      <c r="F14">
        <v>5.9980000000000002</v>
      </c>
      <c r="G14">
        <v>1742</v>
      </c>
      <c r="H14">
        <v>631</v>
      </c>
      <c r="I14">
        <v>402</v>
      </c>
      <c r="J14">
        <v>2706</v>
      </c>
      <c r="K14">
        <v>264</v>
      </c>
      <c r="L14">
        <v>2020</v>
      </c>
      <c r="M14">
        <v>16.965</v>
      </c>
      <c r="N14">
        <v>2385</v>
      </c>
      <c r="O14">
        <v>2494</v>
      </c>
      <c r="P14">
        <v>1601</v>
      </c>
      <c r="Q14">
        <v>1810</v>
      </c>
      <c r="R14">
        <v>2509</v>
      </c>
    </row>
    <row r="15" spans="1:18" x14ac:dyDescent="0.35">
      <c r="A15" s="11" t="s">
        <v>633</v>
      </c>
      <c r="B15">
        <v>20.853000000000002</v>
      </c>
      <c r="C15">
        <v>11.324999999999999</v>
      </c>
      <c r="D15">
        <v>8.3859999999999992</v>
      </c>
      <c r="E15">
        <v>10.163</v>
      </c>
      <c r="F15">
        <v>7.6690000000000005</v>
      </c>
      <c r="G15">
        <v>1968</v>
      </c>
      <c r="H15">
        <v>713</v>
      </c>
      <c r="I15">
        <v>573</v>
      </c>
      <c r="J15">
        <v>2832</v>
      </c>
      <c r="K15">
        <v>367</v>
      </c>
      <c r="L15">
        <v>2068</v>
      </c>
      <c r="M15">
        <v>18.274000000000001</v>
      </c>
      <c r="N15">
        <v>2707</v>
      </c>
      <c r="O15">
        <v>2963</v>
      </c>
      <c r="P15">
        <v>1776</v>
      </c>
      <c r="Q15">
        <v>1869</v>
      </c>
      <c r="R15">
        <v>2439</v>
      </c>
    </row>
    <row r="16" spans="1:18" x14ac:dyDescent="0.35">
      <c r="A16" s="11" t="s">
        <v>634</v>
      </c>
      <c r="B16">
        <v>27.39</v>
      </c>
      <c r="C16">
        <v>12.444000000000001</v>
      </c>
      <c r="D16">
        <v>9.0479999999999983</v>
      </c>
      <c r="E16">
        <v>10.561</v>
      </c>
      <c r="F16">
        <v>7.802999999999999</v>
      </c>
      <c r="G16">
        <v>2196</v>
      </c>
      <c r="H16">
        <v>790</v>
      </c>
      <c r="I16">
        <v>719</v>
      </c>
      <c r="J16">
        <v>3058</v>
      </c>
      <c r="K16">
        <v>465</v>
      </c>
      <c r="L16">
        <v>2160</v>
      </c>
      <c r="M16">
        <v>20.917999999999999</v>
      </c>
      <c r="N16">
        <v>3139</v>
      </c>
      <c r="O16">
        <v>3437</v>
      </c>
      <c r="P16">
        <v>1969</v>
      </c>
      <c r="Q16">
        <v>2147</v>
      </c>
      <c r="R16">
        <v>2697</v>
      </c>
    </row>
    <row r="17" spans="1:18" x14ac:dyDescent="0.35">
      <c r="A17" s="11" t="s">
        <v>635</v>
      </c>
      <c r="B17">
        <v>30.577999999999999</v>
      </c>
      <c r="C17">
        <v>13.600999999999999</v>
      </c>
      <c r="D17">
        <v>9.8230000000000004</v>
      </c>
      <c r="E17">
        <v>11.126999999999999</v>
      </c>
      <c r="F17">
        <v>7.9339999999999993</v>
      </c>
      <c r="G17">
        <v>2455</v>
      </c>
      <c r="H17">
        <v>859</v>
      </c>
      <c r="I17">
        <v>1032</v>
      </c>
      <c r="J17">
        <v>3218</v>
      </c>
      <c r="K17">
        <v>564</v>
      </c>
      <c r="L17">
        <v>2290</v>
      </c>
      <c r="M17">
        <v>24.357999999999997</v>
      </c>
      <c r="N17">
        <v>2679.047</v>
      </c>
      <c r="O17">
        <v>3724</v>
      </c>
      <c r="P17">
        <v>2213</v>
      </c>
      <c r="Q17">
        <v>2449</v>
      </c>
      <c r="R17">
        <v>2982</v>
      </c>
    </row>
    <row r="18" spans="1:18" x14ac:dyDescent="0.35">
      <c r="A18" s="11" t="s">
        <v>636</v>
      </c>
      <c r="B18">
        <v>23.59</v>
      </c>
      <c r="C18">
        <v>10.753</v>
      </c>
      <c r="D18">
        <v>7.8309999999999995</v>
      </c>
      <c r="E18">
        <v>8.3230000000000004</v>
      </c>
      <c r="F18">
        <v>5.8569999999999993</v>
      </c>
      <c r="G18">
        <v>2048</v>
      </c>
      <c r="H18">
        <v>691</v>
      </c>
      <c r="I18">
        <v>1013</v>
      </c>
      <c r="J18">
        <v>2501</v>
      </c>
      <c r="K18">
        <v>529</v>
      </c>
      <c r="L18">
        <v>1688</v>
      </c>
      <c r="M18">
        <v>18.713000000000001</v>
      </c>
      <c r="N18">
        <v>976.22700000000009</v>
      </c>
      <c r="O18">
        <v>995.18100000000004</v>
      </c>
      <c r="P18">
        <v>1801</v>
      </c>
      <c r="Q18">
        <v>1915</v>
      </c>
      <c r="R18">
        <v>2484</v>
      </c>
    </row>
    <row r="19" spans="1:18" x14ac:dyDescent="0.35">
      <c r="A19" s="11" t="s">
        <v>615</v>
      </c>
      <c r="B19">
        <v>386.80899999999997</v>
      </c>
      <c r="C19">
        <v>130.24700000000001</v>
      </c>
      <c r="D19">
        <v>118.46399999999998</v>
      </c>
      <c r="E19">
        <v>175.86300000000003</v>
      </c>
      <c r="F19">
        <v>13556.109999999999</v>
      </c>
      <c r="G19">
        <v>21300</v>
      </c>
      <c r="H19">
        <v>7181</v>
      </c>
      <c r="I19">
        <v>4429</v>
      </c>
      <c r="J19">
        <v>29544</v>
      </c>
      <c r="K19">
        <v>3247</v>
      </c>
      <c r="L19">
        <v>28069</v>
      </c>
      <c r="M19">
        <v>4951.496000000001</v>
      </c>
      <c r="N19">
        <v>24761.273999999998</v>
      </c>
      <c r="O19">
        <v>28695.181</v>
      </c>
      <c r="P19">
        <v>20193</v>
      </c>
      <c r="Q19">
        <v>27910</v>
      </c>
      <c r="R19">
        <v>36323</v>
      </c>
    </row>
    <row r="35" spans="13:13" x14ac:dyDescent="0.35">
      <c r="M35" t="s">
        <v>1176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DD1B-C905-4546-B5AB-00CE8CCEB4A7}">
  <dimension ref="A1:F35"/>
  <sheetViews>
    <sheetView workbookViewId="0">
      <selection activeCell="S38" sqref="S38"/>
    </sheetView>
  </sheetViews>
  <sheetFormatPr baseColWidth="10" defaultRowHeight="14.5" x14ac:dyDescent="0.35"/>
  <cols>
    <col min="1" max="1" width="16.81640625" customWidth="1"/>
    <col min="6" max="6" width="17.36328125" customWidth="1"/>
  </cols>
  <sheetData>
    <row r="1" spans="1:6" x14ac:dyDescent="0.35">
      <c r="A1" s="12" t="s">
        <v>614</v>
      </c>
      <c r="B1" s="12" t="s">
        <v>65</v>
      </c>
      <c r="C1" s="12" t="s">
        <v>150</v>
      </c>
      <c r="D1" s="12" t="s">
        <v>420</v>
      </c>
      <c r="E1" s="12" t="s">
        <v>523</v>
      </c>
      <c r="F1" s="49" t="s">
        <v>1157</v>
      </c>
    </row>
    <row r="2" spans="1:6" x14ac:dyDescent="0.35">
      <c r="A2" s="47" t="s">
        <v>622</v>
      </c>
      <c r="B2" s="48">
        <v>10.764000000000001</v>
      </c>
      <c r="C2" s="48">
        <v>2559</v>
      </c>
      <c r="D2" s="48">
        <v>6.7680000000000007</v>
      </c>
      <c r="E2" s="48">
        <v>1116</v>
      </c>
      <c r="F2" s="48">
        <f>SUM(B2:E2)</f>
        <v>3692.5320000000002</v>
      </c>
    </row>
    <row r="3" spans="1:6" x14ac:dyDescent="0.35">
      <c r="A3" s="47" t="s">
        <v>623</v>
      </c>
      <c r="B3" s="48">
        <v>11.809000000000001</v>
      </c>
      <c r="C3" s="48">
        <v>2779</v>
      </c>
      <c r="D3" s="48">
        <v>8.5009999999999994</v>
      </c>
      <c r="E3" s="48">
        <v>1179</v>
      </c>
      <c r="F3" s="48">
        <f t="shared" ref="F3:F16" si="0">SUM(B3:E3)</f>
        <v>3978.3100000000004</v>
      </c>
    </row>
    <row r="4" spans="1:6" x14ac:dyDescent="0.35">
      <c r="A4" s="47" t="s">
        <v>624</v>
      </c>
      <c r="B4" s="48">
        <v>12.578000000000001</v>
      </c>
      <c r="C4" s="48">
        <v>3369</v>
      </c>
      <c r="D4" s="48">
        <v>9.7199999999999989</v>
      </c>
      <c r="E4" s="48">
        <v>1240</v>
      </c>
      <c r="F4" s="48">
        <f t="shared" si="0"/>
        <v>4631.2979999999998</v>
      </c>
    </row>
    <row r="5" spans="1:6" x14ac:dyDescent="0.35">
      <c r="A5" s="47" t="s">
        <v>625</v>
      </c>
      <c r="B5" s="48">
        <v>14.54</v>
      </c>
      <c r="C5" s="48">
        <v>2802</v>
      </c>
      <c r="D5" s="48">
        <v>10.612</v>
      </c>
      <c r="E5" s="48">
        <v>1329</v>
      </c>
      <c r="F5" s="48">
        <f t="shared" si="0"/>
        <v>4156.152</v>
      </c>
    </row>
    <row r="6" spans="1:6" x14ac:dyDescent="0.35">
      <c r="A6" s="47" t="s">
        <v>626</v>
      </c>
      <c r="B6" s="48">
        <v>15.094000000000001</v>
      </c>
      <c r="C6" s="48">
        <v>2707.0659999999998</v>
      </c>
      <c r="D6" s="48">
        <v>11.247999999999999</v>
      </c>
      <c r="E6" s="48">
        <v>1270</v>
      </c>
      <c r="F6" s="48">
        <f t="shared" si="0"/>
        <v>4003.4079999999999</v>
      </c>
    </row>
    <row r="7" spans="1:6" x14ac:dyDescent="0.35">
      <c r="A7" s="47" t="s">
        <v>627</v>
      </c>
      <c r="B7" s="48">
        <v>15.297000000000001</v>
      </c>
      <c r="C7" s="48">
        <v>2896.067</v>
      </c>
      <c r="D7" s="48">
        <v>12.052999999999999</v>
      </c>
      <c r="E7" s="48">
        <v>1161</v>
      </c>
      <c r="F7" s="48">
        <f t="shared" si="0"/>
        <v>4084.4169999999999</v>
      </c>
    </row>
    <row r="8" spans="1:6" x14ac:dyDescent="0.35">
      <c r="A8" s="47" t="s">
        <v>628</v>
      </c>
      <c r="B8" s="48">
        <v>15.801</v>
      </c>
      <c r="C8" s="48">
        <v>4.2699999999999996</v>
      </c>
      <c r="D8" s="48">
        <v>12.795000000000002</v>
      </c>
      <c r="E8" s="48">
        <v>1395</v>
      </c>
      <c r="F8" s="48">
        <f t="shared" si="0"/>
        <v>1427.866</v>
      </c>
    </row>
    <row r="9" spans="1:6" x14ac:dyDescent="0.35">
      <c r="A9" s="47" t="s">
        <v>629</v>
      </c>
      <c r="B9" s="48">
        <v>16.317999999999998</v>
      </c>
      <c r="C9" s="48">
        <v>955.18499999999995</v>
      </c>
      <c r="D9" s="48">
        <v>13.800999999999998</v>
      </c>
      <c r="E9" s="48">
        <v>1463</v>
      </c>
      <c r="F9" s="48">
        <f t="shared" si="0"/>
        <v>2448.3040000000001</v>
      </c>
    </row>
    <row r="10" spans="1:6" x14ac:dyDescent="0.35">
      <c r="A10" s="47" t="s">
        <v>630</v>
      </c>
      <c r="B10" s="48">
        <v>16.763999999999999</v>
      </c>
      <c r="C10" s="48">
        <v>4.351</v>
      </c>
      <c r="D10" s="48">
        <v>14.61</v>
      </c>
      <c r="E10" s="48">
        <v>1586</v>
      </c>
      <c r="F10" s="48">
        <f t="shared" si="0"/>
        <v>1621.7249999999999</v>
      </c>
    </row>
    <row r="11" spans="1:6" x14ac:dyDescent="0.35">
      <c r="A11" s="47" t="s">
        <v>631</v>
      </c>
      <c r="B11" s="48">
        <v>17.367000000000001</v>
      </c>
      <c r="C11" s="48">
        <v>4.6169999999999991</v>
      </c>
      <c r="D11" s="48">
        <v>15.832000000000001</v>
      </c>
      <c r="E11" s="48">
        <v>1814</v>
      </c>
      <c r="F11" s="48">
        <f t="shared" si="0"/>
        <v>1851.816</v>
      </c>
    </row>
    <row r="12" spans="1:6" x14ac:dyDescent="0.35">
      <c r="A12" s="47" t="s">
        <v>632</v>
      </c>
      <c r="B12" s="48">
        <v>25.954000000000001</v>
      </c>
      <c r="C12" s="48">
        <v>0</v>
      </c>
      <c r="D12" s="48">
        <v>16.738</v>
      </c>
      <c r="E12" s="48">
        <v>2051</v>
      </c>
      <c r="F12" s="48">
        <f t="shared" si="0"/>
        <v>2093.692</v>
      </c>
    </row>
    <row r="13" spans="1:6" x14ac:dyDescent="0.35">
      <c r="A13" s="47" t="s">
        <v>633</v>
      </c>
      <c r="B13" s="48">
        <v>29.012</v>
      </c>
      <c r="C13" s="48">
        <v>0</v>
      </c>
      <c r="D13" s="48">
        <v>17.91</v>
      </c>
      <c r="E13" s="48">
        <v>2621</v>
      </c>
      <c r="F13" s="48">
        <f t="shared" si="0"/>
        <v>2667.922</v>
      </c>
    </row>
    <row r="14" spans="1:6" x14ac:dyDescent="0.35">
      <c r="A14" s="47" t="s">
        <v>634</v>
      </c>
      <c r="B14" s="48">
        <v>29.639000000000003</v>
      </c>
      <c r="C14" s="48">
        <v>0</v>
      </c>
      <c r="D14" s="48">
        <v>20.100999999999999</v>
      </c>
      <c r="E14" s="48">
        <v>2585</v>
      </c>
      <c r="F14" s="48">
        <f t="shared" si="0"/>
        <v>2634.74</v>
      </c>
    </row>
    <row r="15" spans="1:6" x14ac:dyDescent="0.35">
      <c r="A15" s="47" t="s">
        <v>635</v>
      </c>
      <c r="B15" s="48">
        <v>30.378</v>
      </c>
      <c r="C15" s="48">
        <v>0</v>
      </c>
      <c r="D15" s="48">
        <v>19.541999999999998</v>
      </c>
      <c r="E15" s="48">
        <v>2730</v>
      </c>
      <c r="F15" s="48">
        <f t="shared" si="0"/>
        <v>2779.92</v>
      </c>
    </row>
    <row r="16" spans="1:6" x14ac:dyDescent="0.35">
      <c r="A16" s="47" t="s">
        <v>636</v>
      </c>
      <c r="B16" s="48">
        <v>23.185000000000002</v>
      </c>
      <c r="C16" s="48">
        <v>0</v>
      </c>
      <c r="D16" s="48">
        <v>14.491999999999999</v>
      </c>
      <c r="E16" s="48">
        <v>2202</v>
      </c>
      <c r="F16" s="48">
        <f t="shared" si="0"/>
        <v>2239.6770000000001</v>
      </c>
    </row>
    <row r="17" spans="1:5" x14ac:dyDescent="0.35">
      <c r="A17" s="46" t="s">
        <v>615</v>
      </c>
      <c r="B17" s="48">
        <v>284.5</v>
      </c>
      <c r="C17" s="48">
        <v>18080.555999999997</v>
      </c>
      <c r="D17" s="48">
        <v>204.72299999999998</v>
      </c>
      <c r="E17" s="48">
        <v>25742</v>
      </c>
    </row>
    <row r="20" spans="1:5" x14ac:dyDescent="0.35">
      <c r="A20" s="12" t="s">
        <v>614</v>
      </c>
      <c r="B20" s="12" t="s">
        <v>1157</v>
      </c>
    </row>
    <row r="21" spans="1:5" x14ac:dyDescent="0.35">
      <c r="A21" s="47" t="s">
        <v>622</v>
      </c>
      <c r="B21">
        <v>3692.5320000000002</v>
      </c>
    </row>
    <row r="22" spans="1:5" x14ac:dyDescent="0.35">
      <c r="A22" s="47" t="s">
        <v>623</v>
      </c>
      <c r="B22">
        <v>3978.3100000000004</v>
      </c>
    </row>
    <row r="23" spans="1:5" x14ac:dyDescent="0.35">
      <c r="A23" s="47" t="s">
        <v>624</v>
      </c>
      <c r="B23">
        <v>4631.2979999999998</v>
      </c>
    </row>
    <row r="24" spans="1:5" x14ac:dyDescent="0.35">
      <c r="A24" s="47" t="s">
        <v>625</v>
      </c>
      <c r="B24">
        <v>4156.152</v>
      </c>
    </row>
    <row r="25" spans="1:5" x14ac:dyDescent="0.35">
      <c r="A25" s="47" t="s">
        <v>626</v>
      </c>
      <c r="B25">
        <v>4003.4079999999999</v>
      </c>
    </row>
    <row r="26" spans="1:5" x14ac:dyDescent="0.35">
      <c r="A26" s="47" t="s">
        <v>627</v>
      </c>
      <c r="B26">
        <v>4084.4169999999999</v>
      </c>
    </row>
    <row r="27" spans="1:5" x14ac:dyDescent="0.35">
      <c r="A27" s="47" t="s">
        <v>628</v>
      </c>
      <c r="B27">
        <v>1427.866</v>
      </c>
    </row>
    <row r="28" spans="1:5" x14ac:dyDescent="0.35">
      <c r="A28" s="47" t="s">
        <v>629</v>
      </c>
      <c r="B28">
        <v>2448.3040000000001</v>
      </c>
    </row>
    <row r="29" spans="1:5" x14ac:dyDescent="0.35">
      <c r="A29" s="47" t="s">
        <v>630</v>
      </c>
      <c r="B29">
        <v>1621.7249999999999</v>
      </c>
    </row>
    <row r="30" spans="1:5" x14ac:dyDescent="0.35">
      <c r="A30" s="47" t="s">
        <v>631</v>
      </c>
      <c r="B30">
        <v>1851.816</v>
      </c>
    </row>
    <row r="31" spans="1:5" x14ac:dyDescent="0.35">
      <c r="A31" s="47" t="s">
        <v>632</v>
      </c>
      <c r="B31">
        <v>2093.692</v>
      </c>
    </row>
    <row r="32" spans="1:5" x14ac:dyDescent="0.35">
      <c r="A32" s="47" t="s">
        <v>633</v>
      </c>
      <c r="B32">
        <v>2667.922</v>
      </c>
    </row>
    <row r="33" spans="1:2" x14ac:dyDescent="0.35">
      <c r="A33" s="47" t="s">
        <v>634</v>
      </c>
      <c r="B33">
        <v>2634.74</v>
      </c>
    </row>
    <row r="34" spans="1:2" x14ac:dyDescent="0.35">
      <c r="A34" s="47" t="s">
        <v>635</v>
      </c>
      <c r="B34">
        <v>2779.92</v>
      </c>
    </row>
    <row r="35" spans="1:2" x14ac:dyDescent="0.35">
      <c r="A35" s="47" t="s">
        <v>636</v>
      </c>
      <c r="B35">
        <v>2239.6770000000001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76A3-6275-4C1C-AA83-AF874DEEB6CD}">
  <dimension ref="A1:S37"/>
  <sheetViews>
    <sheetView workbookViewId="0">
      <selection activeCell="M33" sqref="M33"/>
    </sheetView>
  </sheetViews>
  <sheetFormatPr baseColWidth="10" defaultRowHeight="14.5" x14ac:dyDescent="0.35"/>
  <cols>
    <col min="1" max="1" width="16.81640625" customWidth="1"/>
    <col min="2" max="2" width="12.453125" customWidth="1"/>
    <col min="4" max="4" width="17.90625" customWidth="1"/>
    <col min="6" max="6" width="16.36328125" customWidth="1"/>
    <col min="12" max="12" width="13.36328125" customWidth="1"/>
    <col min="13" max="13" width="24.1796875" customWidth="1"/>
    <col min="14" max="14" width="17.7265625" customWidth="1"/>
    <col min="15" max="15" width="19.90625" customWidth="1"/>
    <col min="16" max="16" width="11.90625" customWidth="1"/>
    <col min="18" max="18" width="15.7265625" customWidth="1"/>
  </cols>
  <sheetData>
    <row r="1" spans="1:19" x14ac:dyDescent="0.35">
      <c r="A1" t="s">
        <v>618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1168</v>
      </c>
      <c r="M1" t="s">
        <v>1169</v>
      </c>
      <c r="N1" t="s">
        <v>1170</v>
      </c>
      <c r="O1" t="s">
        <v>1171</v>
      </c>
      <c r="P1" t="s">
        <v>1172</v>
      </c>
      <c r="Q1" t="s">
        <v>1173</v>
      </c>
      <c r="R1" t="s">
        <v>1174</v>
      </c>
      <c r="S1" t="s">
        <v>1175</v>
      </c>
    </row>
    <row r="2" spans="1:19" x14ac:dyDescent="0.35">
      <c r="A2" t="s">
        <v>622</v>
      </c>
      <c r="B2">
        <v>22.338000000000001</v>
      </c>
      <c r="C2">
        <v>4.6100000000000003</v>
      </c>
      <c r="D2">
        <v>6.2830000000000004</v>
      </c>
      <c r="E2">
        <v>9.8490000000000002</v>
      </c>
      <c r="F2">
        <v>3287</v>
      </c>
      <c r="G2">
        <v>506</v>
      </c>
      <c r="H2">
        <v>0</v>
      </c>
      <c r="I2">
        <v>0</v>
      </c>
      <c r="J2">
        <v>221</v>
      </c>
      <c r="K2">
        <v>0</v>
      </c>
      <c r="L2">
        <v>1180</v>
      </c>
      <c r="M2">
        <v>2633</v>
      </c>
      <c r="N2">
        <v>228</v>
      </c>
      <c r="O2">
        <v>998</v>
      </c>
      <c r="P2">
        <v>638</v>
      </c>
      <c r="Q2">
        <v>2515</v>
      </c>
      <c r="R2">
        <v>1418</v>
      </c>
      <c r="S2">
        <f t="shared" ref="S2:S17" si="0">SUM(B2:R2)</f>
        <v>13667.08</v>
      </c>
    </row>
    <row r="3" spans="1:19" x14ac:dyDescent="0.35">
      <c r="A3" t="s">
        <v>623</v>
      </c>
      <c r="B3">
        <v>22.475999999999999</v>
      </c>
      <c r="C3">
        <v>5.1470000000000002</v>
      </c>
      <c r="D3">
        <v>7.8209999999999997</v>
      </c>
      <c r="E3">
        <v>10.378</v>
      </c>
      <c r="F3">
        <v>3496</v>
      </c>
      <c r="G3">
        <v>675</v>
      </c>
      <c r="H3">
        <v>114</v>
      </c>
      <c r="I3">
        <v>2</v>
      </c>
      <c r="J3">
        <v>463</v>
      </c>
      <c r="K3">
        <v>4</v>
      </c>
      <c r="L3">
        <v>1274</v>
      </c>
      <c r="M3">
        <v>2124.6689999999999</v>
      </c>
      <c r="N3">
        <v>373</v>
      </c>
      <c r="O3">
        <v>1037</v>
      </c>
      <c r="P3">
        <v>738</v>
      </c>
      <c r="Q3">
        <v>2305</v>
      </c>
      <c r="R3">
        <v>1652</v>
      </c>
      <c r="S3">
        <f t="shared" si="0"/>
        <v>14303.491</v>
      </c>
    </row>
    <row r="4" spans="1:19" x14ac:dyDescent="0.35">
      <c r="A4" t="s">
        <v>624</v>
      </c>
      <c r="B4">
        <v>25.914999999999999</v>
      </c>
      <c r="C4">
        <v>6.0009999999999994</v>
      </c>
      <c r="D4">
        <v>8.3569999999999993</v>
      </c>
      <c r="E4">
        <v>11.263</v>
      </c>
      <c r="F4">
        <v>2825.0740000000001</v>
      </c>
      <c r="G4">
        <v>763</v>
      </c>
      <c r="H4">
        <v>256</v>
      </c>
      <c r="I4">
        <v>5</v>
      </c>
      <c r="J4">
        <v>739</v>
      </c>
      <c r="K4">
        <v>13</v>
      </c>
      <c r="L4">
        <v>1462</v>
      </c>
      <c r="M4">
        <v>9.7460000000000004</v>
      </c>
      <c r="N4">
        <v>600</v>
      </c>
      <c r="O4">
        <v>1091</v>
      </c>
      <c r="P4">
        <v>922</v>
      </c>
      <c r="Q4">
        <v>1575</v>
      </c>
      <c r="R4">
        <v>1819</v>
      </c>
      <c r="S4">
        <f t="shared" si="0"/>
        <v>12131.356</v>
      </c>
    </row>
    <row r="5" spans="1:19" x14ac:dyDescent="0.35">
      <c r="A5" t="s">
        <v>625</v>
      </c>
      <c r="B5">
        <v>29.527999999999999</v>
      </c>
      <c r="C5">
        <v>6.718</v>
      </c>
      <c r="D5">
        <v>8.0500000000000007</v>
      </c>
      <c r="E5">
        <v>12.347999999999999</v>
      </c>
      <c r="F5">
        <v>955.16899999999998</v>
      </c>
      <c r="G5">
        <v>888</v>
      </c>
      <c r="H5">
        <v>307</v>
      </c>
      <c r="I5">
        <v>10</v>
      </c>
      <c r="J5">
        <v>1674</v>
      </c>
      <c r="K5">
        <v>36</v>
      </c>
      <c r="L5">
        <v>1764</v>
      </c>
      <c r="M5">
        <v>10.497999999999999</v>
      </c>
      <c r="N5">
        <v>875</v>
      </c>
      <c r="O5">
        <v>1239</v>
      </c>
      <c r="P5">
        <v>1024</v>
      </c>
      <c r="Q5">
        <v>1912</v>
      </c>
      <c r="R5">
        <v>2127</v>
      </c>
      <c r="S5">
        <f t="shared" si="0"/>
        <v>12878.311</v>
      </c>
    </row>
    <row r="6" spans="1:19" x14ac:dyDescent="0.35">
      <c r="A6" t="s">
        <v>626</v>
      </c>
      <c r="B6">
        <v>30.763999999999999</v>
      </c>
      <c r="C6">
        <v>6.7219999999999995</v>
      </c>
      <c r="D6">
        <v>8.1880000000000006</v>
      </c>
      <c r="E6">
        <v>12.562000000000001</v>
      </c>
      <c r="F6">
        <v>1971.127</v>
      </c>
      <c r="G6">
        <v>1002</v>
      </c>
      <c r="H6">
        <v>349</v>
      </c>
      <c r="I6">
        <v>29</v>
      </c>
      <c r="J6">
        <v>1637</v>
      </c>
      <c r="K6">
        <v>66</v>
      </c>
      <c r="L6">
        <v>1784</v>
      </c>
      <c r="M6">
        <v>9.9109999999999996</v>
      </c>
      <c r="N6">
        <v>1052</v>
      </c>
      <c r="O6">
        <v>1323</v>
      </c>
      <c r="P6">
        <v>1031</v>
      </c>
      <c r="Q6">
        <v>1435</v>
      </c>
      <c r="R6">
        <v>2247</v>
      </c>
      <c r="S6">
        <f t="shared" si="0"/>
        <v>13994.274000000001</v>
      </c>
    </row>
    <row r="7" spans="1:19" x14ac:dyDescent="0.35">
      <c r="A7" t="s">
        <v>627</v>
      </c>
      <c r="B7">
        <v>35.167000000000002</v>
      </c>
      <c r="C7">
        <v>7.32</v>
      </c>
      <c r="D7">
        <v>7.806</v>
      </c>
      <c r="E7">
        <v>12.843</v>
      </c>
      <c r="F7">
        <v>968.25599999999997</v>
      </c>
      <c r="G7">
        <v>1159</v>
      </c>
      <c r="H7">
        <v>406</v>
      </c>
      <c r="I7">
        <v>50</v>
      </c>
      <c r="J7">
        <v>1679</v>
      </c>
      <c r="K7">
        <v>97</v>
      </c>
      <c r="L7">
        <v>1928</v>
      </c>
      <c r="M7">
        <v>10.394</v>
      </c>
      <c r="N7">
        <v>1413</v>
      </c>
      <c r="O7">
        <v>1447</v>
      </c>
      <c r="P7">
        <v>1104</v>
      </c>
      <c r="Q7">
        <v>1397</v>
      </c>
      <c r="R7">
        <v>2396</v>
      </c>
      <c r="S7">
        <f t="shared" si="0"/>
        <v>14117.786</v>
      </c>
    </row>
    <row r="8" spans="1:19" x14ac:dyDescent="0.35">
      <c r="A8" t="s">
        <v>628</v>
      </c>
      <c r="B8">
        <v>38.850999999999999</v>
      </c>
      <c r="C8">
        <v>8.3070000000000004</v>
      </c>
      <c r="D8">
        <v>7.6220000000000008</v>
      </c>
      <c r="E8">
        <v>13.892999999999999</v>
      </c>
      <c r="F8">
        <v>4.452</v>
      </c>
      <c r="G8">
        <v>1303</v>
      </c>
      <c r="H8">
        <v>439</v>
      </c>
      <c r="I8">
        <v>75</v>
      </c>
      <c r="J8">
        <v>1790</v>
      </c>
      <c r="K8">
        <v>152</v>
      </c>
      <c r="L8">
        <v>2074</v>
      </c>
      <c r="M8">
        <v>11.558999999999999</v>
      </c>
      <c r="N8">
        <v>1758</v>
      </c>
      <c r="O8">
        <v>1679</v>
      </c>
      <c r="P8">
        <v>1219</v>
      </c>
      <c r="Q8">
        <v>1493</v>
      </c>
      <c r="R8">
        <v>2641</v>
      </c>
      <c r="S8">
        <f t="shared" si="0"/>
        <v>14707.684000000001</v>
      </c>
    </row>
    <row r="9" spans="1:19" x14ac:dyDescent="0.35">
      <c r="A9" t="s">
        <v>629</v>
      </c>
      <c r="B9">
        <v>19.049999999999997</v>
      </c>
      <c r="C9">
        <v>8.657</v>
      </c>
      <c r="D9">
        <v>7.2490000000000006</v>
      </c>
      <c r="E9">
        <v>13.936</v>
      </c>
      <c r="F9">
        <v>4.4729999999999999</v>
      </c>
      <c r="G9">
        <v>1438</v>
      </c>
      <c r="H9">
        <v>493</v>
      </c>
      <c r="I9">
        <v>99</v>
      </c>
      <c r="J9">
        <v>2002</v>
      </c>
      <c r="K9">
        <v>212</v>
      </c>
      <c r="L9">
        <v>2069</v>
      </c>
      <c r="M9">
        <v>12.51</v>
      </c>
      <c r="N9">
        <v>2179</v>
      </c>
      <c r="O9">
        <v>1900</v>
      </c>
      <c r="P9">
        <v>1294</v>
      </c>
      <c r="Q9">
        <v>1551</v>
      </c>
      <c r="R9">
        <v>2859</v>
      </c>
      <c r="S9">
        <f t="shared" si="0"/>
        <v>16161.875</v>
      </c>
    </row>
    <row r="10" spans="1:19" x14ac:dyDescent="0.35">
      <c r="A10" t="s">
        <v>630</v>
      </c>
      <c r="B10">
        <v>19.657</v>
      </c>
      <c r="C10">
        <v>9.0210000000000008</v>
      </c>
      <c r="D10">
        <v>7.1429999999999998</v>
      </c>
      <c r="E10">
        <v>15.149000000000001</v>
      </c>
      <c r="F10">
        <v>4.6240000000000006</v>
      </c>
      <c r="G10">
        <v>1541</v>
      </c>
      <c r="H10">
        <v>546</v>
      </c>
      <c r="I10">
        <v>161</v>
      </c>
      <c r="J10">
        <v>2492</v>
      </c>
      <c r="K10">
        <v>247</v>
      </c>
      <c r="L10">
        <v>2133</v>
      </c>
      <c r="M10">
        <v>13.091000000000001</v>
      </c>
      <c r="N10">
        <v>2265</v>
      </c>
      <c r="O10">
        <v>2046</v>
      </c>
      <c r="P10">
        <v>1377</v>
      </c>
      <c r="Q10">
        <v>1697</v>
      </c>
      <c r="R10">
        <v>2976</v>
      </c>
      <c r="S10">
        <f t="shared" si="0"/>
        <v>17549.685000000001</v>
      </c>
    </row>
    <row r="11" spans="1:19" x14ac:dyDescent="0.35">
      <c r="A11" t="s">
        <v>631</v>
      </c>
      <c r="B11">
        <v>20.247</v>
      </c>
      <c r="C11">
        <v>9.6750000000000007</v>
      </c>
      <c r="D11">
        <v>7.3800000000000008</v>
      </c>
      <c r="E11">
        <v>13.499999999999998</v>
      </c>
      <c r="F11">
        <v>4.6739999999999995</v>
      </c>
      <c r="G11">
        <v>1616</v>
      </c>
      <c r="H11">
        <v>587</v>
      </c>
      <c r="I11">
        <v>259</v>
      </c>
      <c r="J11">
        <v>2532</v>
      </c>
      <c r="K11">
        <v>231</v>
      </c>
      <c r="L11">
        <v>2175</v>
      </c>
      <c r="M11">
        <v>16.89</v>
      </c>
      <c r="N11">
        <v>2132</v>
      </c>
      <c r="O11">
        <v>2322</v>
      </c>
      <c r="P11">
        <v>1486</v>
      </c>
      <c r="Q11">
        <v>1840</v>
      </c>
      <c r="R11">
        <v>3077</v>
      </c>
      <c r="S11">
        <f t="shared" si="0"/>
        <v>18329.366000000002</v>
      </c>
    </row>
    <row r="12" spans="1:19" x14ac:dyDescent="0.35">
      <c r="A12" t="s">
        <v>632</v>
      </c>
      <c r="B12">
        <v>20.405000000000001</v>
      </c>
      <c r="C12">
        <v>9.9459999999999997</v>
      </c>
      <c r="D12">
        <v>7.4769999999999994</v>
      </c>
      <c r="E12">
        <v>9.968</v>
      </c>
      <c r="F12">
        <v>5.9980000000000002</v>
      </c>
      <c r="G12">
        <v>1742</v>
      </c>
      <c r="H12">
        <v>631</v>
      </c>
      <c r="I12">
        <v>402</v>
      </c>
      <c r="J12">
        <v>2706</v>
      </c>
      <c r="K12">
        <v>264</v>
      </c>
      <c r="L12">
        <v>2020</v>
      </c>
      <c r="M12">
        <v>16.965</v>
      </c>
      <c r="N12">
        <v>2385</v>
      </c>
      <c r="O12">
        <v>2494</v>
      </c>
      <c r="P12">
        <v>1601</v>
      </c>
      <c r="Q12">
        <v>1810</v>
      </c>
      <c r="R12">
        <v>2509</v>
      </c>
      <c r="S12">
        <f t="shared" si="0"/>
        <v>18634.758999999998</v>
      </c>
    </row>
    <row r="13" spans="1:19" x14ac:dyDescent="0.35">
      <c r="A13" t="s">
        <v>633</v>
      </c>
      <c r="B13">
        <v>20.853000000000002</v>
      </c>
      <c r="C13">
        <v>11.324999999999999</v>
      </c>
      <c r="D13">
        <v>8.3859999999999992</v>
      </c>
      <c r="E13">
        <v>10.163</v>
      </c>
      <c r="F13">
        <v>7.6690000000000005</v>
      </c>
      <c r="G13">
        <v>1968</v>
      </c>
      <c r="H13">
        <v>713</v>
      </c>
      <c r="I13">
        <v>573</v>
      </c>
      <c r="J13">
        <v>2832</v>
      </c>
      <c r="K13">
        <v>367</v>
      </c>
      <c r="L13">
        <v>2068</v>
      </c>
      <c r="M13">
        <v>18.274000000000001</v>
      </c>
      <c r="N13">
        <v>2707</v>
      </c>
      <c r="O13">
        <v>2963</v>
      </c>
      <c r="P13">
        <v>1776</v>
      </c>
      <c r="Q13">
        <v>1869</v>
      </c>
      <c r="R13">
        <v>2439</v>
      </c>
      <c r="S13">
        <f t="shared" si="0"/>
        <v>20351.669999999998</v>
      </c>
    </row>
    <row r="14" spans="1:19" x14ac:dyDescent="0.35">
      <c r="A14" t="s">
        <v>634</v>
      </c>
      <c r="B14">
        <v>27.39</v>
      </c>
      <c r="C14">
        <v>12.444000000000001</v>
      </c>
      <c r="D14">
        <v>9.0479999999999983</v>
      </c>
      <c r="E14">
        <v>10.561</v>
      </c>
      <c r="F14">
        <v>7.802999999999999</v>
      </c>
      <c r="G14">
        <v>2196</v>
      </c>
      <c r="H14">
        <v>790</v>
      </c>
      <c r="I14">
        <v>719</v>
      </c>
      <c r="J14">
        <v>3058</v>
      </c>
      <c r="K14">
        <v>465</v>
      </c>
      <c r="L14">
        <v>2160</v>
      </c>
      <c r="M14">
        <v>20.917999999999999</v>
      </c>
      <c r="N14">
        <v>3139</v>
      </c>
      <c r="O14">
        <v>3437</v>
      </c>
      <c r="P14">
        <v>1969</v>
      </c>
      <c r="Q14">
        <v>2147</v>
      </c>
      <c r="R14">
        <v>2697</v>
      </c>
      <c r="S14">
        <f t="shared" si="0"/>
        <v>22865.163999999997</v>
      </c>
    </row>
    <row r="15" spans="1:19" x14ac:dyDescent="0.35">
      <c r="A15" t="s">
        <v>635</v>
      </c>
      <c r="B15">
        <v>30.577999999999999</v>
      </c>
      <c r="C15">
        <v>13.600999999999999</v>
      </c>
      <c r="D15">
        <v>9.8230000000000004</v>
      </c>
      <c r="E15">
        <v>11.126999999999999</v>
      </c>
      <c r="F15">
        <v>7.9339999999999993</v>
      </c>
      <c r="G15">
        <v>2455</v>
      </c>
      <c r="H15">
        <v>859</v>
      </c>
      <c r="I15">
        <v>1032</v>
      </c>
      <c r="J15">
        <v>3218</v>
      </c>
      <c r="K15">
        <v>564</v>
      </c>
      <c r="L15">
        <v>2290</v>
      </c>
      <c r="M15">
        <v>24.357999999999997</v>
      </c>
      <c r="N15">
        <v>2679.047</v>
      </c>
      <c r="O15">
        <v>3724</v>
      </c>
      <c r="P15">
        <v>2213</v>
      </c>
      <c r="Q15">
        <v>2449</v>
      </c>
      <c r="R15">
        <v>2982</v>
      </c>
      <c r="S15">
        <f t="shared" si="0"/>
        <v>24562.468000000001</v>
      </c>
    </row>
    <row r="16" spans="1:19" x14ac:dyDescent="0.35">
      <c r="A16" t="s">
        <v>636</v>
      </c>
      <c r="B16">
        <v>23.59</v>
      </c>
      <c r="C16">
        <v>10.753</v>
      </c>
      <c r="D16">
        <v>7.8309999999999995</v>
      </c>
      <c r="E16">
        <v>8.3230000000000004</v>
      </c>
      <c r="F16">
        <v>5.8569999999999993</v>
      </c>
      <c r="G16">
        <v>2048</v>
      </c>
      <c r="H16">
        <v>691</v>
      </c>
      <c r="I16">
        <v>1013</v>
      </c>
      <c r="J16">
        <v>2501</v>
      </c>
      <c r="K16">
        <v>529</v>
      </c>
      <c r="L16">
        <v>1688</v>
      </c>
      <c r="M16">
        <v>18.713000000000001</v>
      </c>
      <c r="N16">
        <v>976.22700000000009</v>
      </c>
      <c r="O16">
        <v>995.18100000000004</v>
      </c>
      <c r="P16">
        <v>1801</v>
      </c>
      <c r="Q16">
        <v>1915</v>
      </c>
      <c r="R16">
        <v>2484</v>
      </c>
      <c r="S16">
        <f t="shared" si="0"/>
        <v>16716.474999999999</v>
      </c>
    </row>
    <row r="17" spans="1:19" x14ac:dyDescent="0.35">
      <c r="A17" t="s">
        <v>615</v>
      </c>
      <c r="B17">
        <v>386.80899999999997</v>
      </c>
      <c r="C17">
        <v>130.24700000000001</v>
      </c>
      <c r="D17">
        <v>118.46399999999998</v>
      </c>
      <c r="E17">
        <v>175.86300000000003</v>
      </c>
      <c r="F17">
        <v>13556.109999999999</v>
      </c>
      <c r="G17">
        <v>21300</v>
      </c>
      <c r="H17">
        <v>7181</v>
      </c>
      <c r="I17">
        <v>4429</v>
      </c>
      <c r="J17">
        <v>29544</v>
      </c>
      <c r="K17">
        <v>3247</v>
      </c>
      <c r="L17">
        <v>28069</v>
      </c>
      <c r="M17">
        <v>4951.496000000001</v>
      </c>
      <c r="N17">
        <v>24761.273999999998</v>
      </c>
      <c r="O17">
        <v>28695.181</v>
      </c>
      <c r="P17">
        <v>20193</v>
      </c>
      <c r="Q17">
        <v>27910</v>
      </c>
      <c r="R17">
        <v>36323</v>
      </c>
      <c r="S17">
        <f t="shared" si="0"/>
        <v>250971.44400000002</v>
      </c>
    </row>
    <row r="22" spans="1:19" x14ac:dyDescent="0.35">
      <c r="A22" s="51" t="s">
        <v>618</v>
      </c>
      <c r="B22" s="52" t="s">
        <v>1175</v>
      </c>
    </row>
    <row r="23" spans="1:19" x14ac:dyDescent="0.35">
      <c r="A23" s="34" t="s">
        <v>622</v>
      </c>
      <c r="B23">
        <v>13667.08</v>
      </c>
    </row>
    <row r="24" spans="1:19" x14ac:dyDescent="0.35">
      <c r="A24" s="50" t="s">
        <v>623</v>
      </c>
      <c r="B24">
        <v>14303.491</v>
      </c>
    </row>
    <row r="25" spans="1:19" x14ac:dyDescent="0.35">
      <c r="A25" s="34" t="s">
        <v>624</v>
      </c>
      <c r="B25">
        <v>12131.356</v>
      </c>
    </row>
    <row r="26" spans="1:19" x14ac:dyDescent="0.35">
      <c r="A26" s="50" t="s">
        <v>625</v>
      </c>
      <c r="B26">
        <v>12878.311</v>
      </c>
    </row>
    <row r="27" spans="1:19" x14ac:dyDescent="0.35">
      <c r="A27" s="34" t="s">
        <v>626</v>
      </c>
      <c r="B27">
        <v>13994.274000000001</v>
      </c>
    </row>
    <row r="28" spans="1:19" x14ac:dyDescent="0.35">
      <c r="A28" s="50" t="s">
        <v>627</v>
      </c>
      <c r="B28">
        <v>14117.786</v>
      </c>
    </row>
    <row r="29" spans="1:19" x14ac:dyDescent="0.35">
      <c r="A29" s="34" t="s">
        <v>628</v>
      </c>
      <c r="B29">
        <v>14707.684000000001</v>
      </c>
    </row>
    <row r="30" spans="1:19" x14ac:dyDescent="0.35">
      <c r="A30" s="50" t="s">
        <v>629</v>
      </c>
      <c r="B30">
        <v>16161.875</v>
      </c>
    </row>
    <row r="31" spans="1:19" x14ac:dyDescent="0.35">
      <c r="A31" s="34" t="s">
        <v>630</v>
      </c>
      <c r="B31">
        <v>17549.685000000001</v>
      </c>
    </row>
    <row r="32" spans="1:19" x14ac:dyDescent="0.35">
      <c r="A32" s="50" t="s">
        <v>631</v>
      </c>
      <c r="B32">
        <v>18329.366000000002</v>
      </c>
    </row>
    <row r="33" spans="1:2" x14ac:dyDescent="0.35">
      <c r="A33" s="34" t="s">
        <v>632</v>
      </c>
      <c r="B33">
        <v>18634.758999999998</v>
      </c>
    </row>
    <row r="34" spans="1:2" x14ac:dyDescent="0.35">
      <c r="A34" s="50" t="s">
        <v>633</v>
      </c>
      <c r="B34">
        <v>20351.669999999998</v>
      </c>
    </row>
    <row r="35" spans="1:2" x14ac:dyDescent="0.35">
      <c r="A35" s="34" t="s">
        <v>634</v>
      </c>
      <c r="B35">
        <v>22865.163999999997</v>
      </c>
    </row>
    <row r="36" spans="1:2" x14ac:dyDescent="0.35">
      <c r="A36" s="50" t="s">
        <v>635</v>
      </c>
      <c r="B36">
        <v>24562.468000000001</v>
      </c>
    </row>
    <row r="37" spans="1:2" x14ac:dyDescent="0.35">
      <c r="A37" s="34" t="s">
        <v>636</v>
      </c>
      <c r="B37">
        <v>16716.474999999999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03BE-417B-4698-8548-0E07AD0D4DFD}">
  <dimension ref="A1:I133"/>
  <sheetViews>
    <sheetView zoomScaleNormal="100" workbookViewId="0">
      <selection activeCell="C133" sqref="C133:D133"/>
    </sheetView>
  </sheetViews>
  <sheetFormatPr baseColWidth="10" defaultRowHeight="14.5" x14ac:dyDescent="0.35"/>
  <cols>
    <col min="3" max="3" width="11.6328125" customWidth="1"/>
    <col min="4" max="4" width="11.36328125" customWidth="1"/>
    <col min="5" max="5" width="17.1796875" customWidth="1"/>
    <col min="9" max="9" width="15.54296875" customWidth="1"/>
  </cols>
  <sheetData>
    <row r="1" spans="1:9" ht="43.5" x14ac:dyDescent="0.35">
      <c r="A1" s="68" t="s">
        <v>1231</v>
      </c>
      <c r="B1" s="69" t="s">
        <v>1205</v>
      </c>
      <c r="C1" s="70" t="s">
        <v>1232</v>
      </c>
      <c r="D1" s="70" t="s">
        <v>1233</v>
      </c>
      <c r="E1" s="70" t="s">
        <v>1234</v>
      </c>
      <c r="F1" s="71" t="s">
        <v>1237</v>
      </c>
      <c r="G1" s="71" t="s">
        <v>1238</v>
      </c>
      <c r="H1" s="71" t="s">
        <v>1240</v>
      </c>
      <c r="I1" s="71" t="s">
        <v>1241</v>
      </c>
    </row>
    <row r="2" spans="1:9" x14ac:dyDescent="0.35">
      <c r="A2" s="60">
        <v>1</v>
      </c>
      <c r="B2" s="54" t="s">
        <v>3</v>
      </c>
      <c r="C2">
        <v>917.14</v>
      </c>
      <c r="F2" s="72">
        <f>C2-$D$65</f>
        <v>166.09289830508487</v>
      </c>
      <c r="G2" s="73" t="s">
        <v>1239</v>
      </c>
      <c r="H2">
        <f>POWER(F2,2)</f>
        <v>27586.850867383266</v>
      </c>
      <c r="I2" s="74" t="s">
        <v>1239</v>
      </c>
    </row>
    <row r="3" spans="1:9" x14ac:dyDescent="0.35">
      <c r="A3" s="61">
        <v>2</v>
      </c>
      <c r="B3" s="55" t="s">
        <v>4</v>
      </c>
      <c r="C3">
        <v>924.44799999999998</v>
      </c>
      <c r="D3">
        <f>C2</f>
        <v>917.14</v>
      </c>
      <c r="F3" s="72">
        <f t="shared" ref="F3:F60" si="0">C3-$D$65</f>
        <v>173.40089830508487</v>
      </c>
      <c r="G3" s="72">
        <f t="shared" ref="G3:G60" si="1">F2</f>
        <v>166.09289830508487</v>
      </c>
      <c r="H3">
        <f>POWER(F3,2)</f>
        <v>30067.871533010384</v>
      </c>
      <c r="I3">
        <f t="shared" ref="I3:I60" si="2">F3*G3</f>
        <v>28800.657768196823</v>
      </c>
    </row>
    <row r="4" spans="1:9" x14ac:dyDescent="0.35">
      <c r="A4" s="60">
        <v>3</v>
      </c>
      <c r="B4" s="54" t="s">
        <v>5</v>
      </c>
      <c r="C4">
        <v>886.40700000000004</v>
      </c>
      <c r="D4">
        <f>C3</f>
        <v>924.44799999999998</v>
      </c>
      <c r="E4">
        <f>C2</f>
        <v>917.14</v>
      </c>
      <c r="F4" s="72">
        <f t="shared" si="0"/>
        <v>135.35989830508493</v>
      </c>
      <c r="G4" s="72">
        <f t="shared" si="1"/>
        <v>173.40089830508487</v>
      </c>
      <c r="H4">
        <f t="shared" ref="H4:H60" si="3">POWER(F4,2)</f>
        <v>18322.302069162932</v>
      </c>
      <c r="I4">
        <f t="shared" si="2"/>
        <v>23471.52796058666</v>
      </c>
    </row>
    <row r="5" spans="1:9" x14ac:dyDescent="0.35">
      <c r="A5" s="61">
        <v>4</v>
      </c>
      <c r="B5" s="55" t="s">
        <v>6</v>
      </c>
      <c r="C5">
        <v>964.53700000000003</v>
      </c>
      <c r="D5">
        <f t="shared" ref="D5:D60" si="4">C4</f>
        <v>886.40700000000004</v>
      </c>
      <c r="E5">
        <f>C3</f>
        <v>924.44799999999998</v>
      </c>
      <c r="F5" s="72">
        <f t="shared" si="0"/>
        <v>213.48989830508492</v>
      </c>
      <c r="G5" s="72">
        <f t="shared" si="1"/>
        <v>135.35989830508493</v>
      </c>
      <c r="H5">
        <f t="shared" si="3"/>
        <v>45577.936678315498</v>
      </c>
      <c r="I5">
        <f t="shared" si="2"/>
        <v>28897.970923739216</v>
      </c>
    </row>
    <row r="6" spans="1:9" x14ac:dyDescent="0.35">
      <c r="A6" s="60">
        <v>5</v>
      </c>
      <c r="B6" s="54" t="s">
        <v>7</v>
      </c>
      <c r="C6">
        <v>978.52</v>
      </c>
      <c r="D6">
        <f t="shared" si="4"/>
        <v>964.53700000000003</v>
      </c>
      <c r="E6">
        <f t="shared" ref="E6:E60" si="5">C4</f>
        <v>886.40700000000004</v>
      </c>
      <c r="F6" s="72">
        <f t="shared" si="0"/>
        <v>227.47289830508487</v>
      </c>
      <c r="G6" s="72">
        <f t="shared" si="1"/>
        <v>213.48989830508492</v>
      </c>
      <c r="H6">
        <f t="shared" si="3"/>
        <v>51743.919463315484</v>
      </c>
      <c r="I6">
        <f t="shared" si="2"/>
        <v>48563.165926315494</v>
      </c>
    </row>
    <row r="7" spans="1:9" x14ac:dyDescent="0.35">
      <c r="A7" s="61">
        <v>6</v>
      </c>
      <c r="B7" s="55" t="s">
        <v>8</v>
      </c>
      <c r="C7">
        <v>956.23199999999997</v>
      </c>
      <c r="D7">
        <f t="shared" si="4"/>
        <v>978.52</v>
      </c>
      <c r="E7">
        <f t="shared" si="5"/>
        <v>964.53700000000003</v>
      </c>
      <c r="F7" s="72">
        <f t="shared" si="0"/>
        <v>205.18489830508486</v>
      </c>
      <c r="G7" s="72">
        <f t="shared" si="1"/>
        <v>227.47289830508487</v>
      </c>
      <c r="H7">
        <f t="shared" si="3"/>
        <v>42100.842492468015</v>
      </c>
      <c r="I7">
        <f t="shared" si="2"/>
        <v>46674.003505891749</v>
      </c>
    </row>
    <row r="8" spans="1:9" x14ac:dyDescent="0.35">
      <c r="A8" s="60">
        <v>7</v>
      </c>
      <c r="B8" s="54" t="s">
        <v>9</v>
      </c>
      <c r="C8">
        <v>968.13100000000009</v>
      </c>
      <c r="D8">
        <f t="shared" si="4"/>
        <v>956.23199999999997</v>
      </c>
      <c r="E8">
        <f t="shared" si="5"/>
        <v>978.52</v>
      </c>
      <c r="F8" s="72">
        <f t="shared" si="0"/>
        <v>217.08389830508497</v>
      </c>
      <c r="G8" s="72">
        <f t="shared" si="1"/>
        <v>205.18489830508486</v>
      </c>
      <c r="H8">
        <f t="shared" si="3"/>
        <v>47125.418903332473</v>
      </c>
      <c r="I8">
        <f t="shared" si="2"/>
        <v>44542.337597400241</v>
      </c>
    </row>
    <row r="9" spans="1:9" x14ac:dyDescent="0.35">
      <c r="A9" s="61">
        <v>8</v>
      </c>
      <c r="B9" s="55" t="s">
        <v>10</v>
      </c>
      <c r="C9">
        <v>1075.4270000000001</v>
      </c>
      <c r="D9">
        <f t="shared" si="4"/>
        <v>968.13100000000009</v>
      </c>
      <c r="E9">
        <f t="shared" si="5"/>
        <v>956.23199999999997</v>
      </c>
      <c r="F9" s="72">
        <f t="shared" si="0"/>
        <v>324.37989830508502</v>
      </c>
      <c r="G9" s="72">
        <f t="shared" si="1"/>
        <v>217.08389830508497</v>
      </c>
      <c r="H9">
        <f t="shared" si="3"/>
        <v>105222.3184244173</v>
      </c>
      <c r="I9">
        <f t="shared" si="2"/>
        <v>70417.652855874883</v>
      </c>
    </row>
    <row r="10" spans="1:9" x14ac:dyDescent="0.35">
      <c r="A10" s="60">
        <v>9</v>
      </c>
      <c r="B10" s="54" t="s">
        <v>11</v>
      </c>
      <c r="C10">
        <v>1099.3690000000001</v>
      </c>
      <c r="D10">
        <f t="shared" si="4"/>
        <v>1075.4270000000001</v>
      </c>
      <c r="E10">
        <f t="shared" si="5"/>
        <v>968.13100000000009</v>
      </c>
      <c r="F10" s="72">
        <f t="shared" si="0"/>
        <v>348.32189830508503</v>
      </c>
      <c r="G10" s="72">
        <f t="shared" si="1"/>
        <v>324.37989830508502</v>
      </c>
      <c r="H10">
        <f t="shared" si="3"/>
        <v>121328.144838858</v>
      </c>
      <c r="I10">
        <f t="shared" si="2"/>
        <v>112988.62194963764</v>
      </c>
    </row>
    <row r="11" spans="1:9" x14ac:dyDescent="0.35">
      <c r="A11" s="61">
        <v>10</v>
      </c>
      <c r="B11" s="55" t="s">
        <v>12</v>
      </c>
      <c r="C11">
        <v>1099.683</v>
      </c>
      <c r="D11">
        <f t="shared" si="4"/>
        <v>1099.3690000000001</v>
      </c>
      <c r="E11">
        <f t="shared" si="5"/>
        <v>1075.4270000000001</v>
      </c>
      <c r="F11" s="72">
        <f t="shared" si="0"/>
        <v>348.63589830508488</v>
      </c>
      <c r="G11" s="72">
        <f t="shared" si="1"/>
        <v>348.32189830508503</v>
      </c>
      <c r="H11">
        <f t="shared" si="3"/>
        <v>121546.98958699348</v>
      </c>
      <c r="I11">
        <f t="shared" si="2"/>
        <v>121437.51791492575</v>
      </c>
    </row>
    <row r="12" spans="1:9" x14ac:dyDescent="0.35">
      <c r="A12" s="60">
        <v>11</v>
      </c>
      <c r="B12" s="54" t="s">
        <v>13</v>
      </c>
      <c r="C12">
        <v>1145.5529999999999</v>
      </c>
      <c r="D12">
        <f t="shared" si="4"/>
        <v>1099.683</v>
      </c>
      <c r="E12">
        <f t="shared" si="5"/>
        <v>1099.3690000000001</v>
      </c>
      <c r="F12" s="72">
        <f t="shared" si="0"/>
        <v>394.50589830508477</v>
      </c>
      <c r="G12" s="72">
        <f t="shared" si="1"/>
        <v>348.63589830508488</v>
      </c>
      <c r="H12">
        <f t="shared" si="3"/>
        <v>155634.90379750187</v>
      </c>
      <c r="I12">
        <f t="shared" si="2"/>
        <v>137538.91824224769</v>
      </c>
    </row>
    <row r="13" spans="1:9" x14ac:dyDescent="0.35">
      <c r="A13" s="61">
        <v>12</v>
      </c>
      <c r="B13" s="55" t="s">
        <v>14</v>
      </c>
      <c r="C13">
        <v>1286.693</v>
      </c>
      <c r="D13">
        <f t="shared" si="4"/>
        <v>1145.5529999999999</v>
      </c>
      <c r="E13">
        <f t="shared" si="5"/>
        <v>1099.683</v>
      </c>
      <c r="F13" s="72">
        <f t="shared" si="0"/>
        <v>535.64589830508487</v>
      </c>
      <c r="G13" s="72">
        <f t="shared" si="1"/>
        <v>394.50589830508477</v>
      </c>
      <c r="H13">
        <f t="shared" si="3"/>
        <v>286916.52837106131</v>
      </c>
      <c r="I13">
        <f t="shared" si="2"/>
        <v>211315.4662842816</v>
      </c>
    </row>
    <row r="14" spans="1:9" x14ac:dyDescent="0.35">
      <c r="A14" s="60">
        <v>13</v>
      </c>
      <c r="B14" s="54" t="s">
        <v>15</v>
      </c>
      <c r="C14">
        <v>1291.9169999999999</v>
      </c>
      <c r="D14">
        <f t="shared" si="4"/>
        <v>1286.693</v>
      </c>
      <c r="E14">
        <f t="shared" si="5"/>
        <v>1145.5529999999999</v>
      </c>
      <c r="F14" s="72">
        <f t="shared" si="0"/>
        <v>540.8698983050848</v>
      </c>
      <c r="G14" s="72">
        <f t="shared" si="1"/>
        <v>535.64589830508487</v>
      </c>
      <c r="H14">
        <f t="shared" si="3"/>
        <v>292540.24689255276</v>
      </c>
      <c r="I14">
        <f t="shared" si="2"/>
        <v>289714.74254380708</v>
      </c>
    </row>
    <row r="15" spans="1:9" x14ac:dyDescent="0.35">
      <c r="A15" s="61">
        <v>14</v>
      </c>
      <c r="B15" s="55" t="s">
        <v>16</v>
      </c>
      <c r="C15">
        <v>319.524</v>
      </c>
      <c r="D15">
        <f t="shared" si="4"/>
        <v>1291.9169999999999</v>
      </c>
      <c r="E15">
        <f t="shared" si="5"/>
        <v>1286.693</v>
      </c>
      <c r="F15" s="72">
        <f t="shared" si="0"/>
        <v>-431.52310169491511</v>
      </c>
      <c r="G15" s="72">
        <f t="shared" si="1"/>
        <v>540.8698983050848</v>
      </c>
      <c r="H15">
        <f t="shared" si="3"/>
        <v>186212.18729640005</v>
      </c>
      <c r="I15">
        <f t="shared" si="2"/>
        <v>-233397.85613002352</v>
      </c>
    </row>
    <row r="16" spans="1:9" x14ac:dyDescent="0.35">
      <c r="A16" s="60">
        <v>15</v>
      </c>
      <c r="B16" s="54" t="s">
        <v>17</v>
      </c>
      <c r="C16">
        <v>1259.4189999999999</v>
      </c>
      <c r="D16">
        <f t="shared" si="4"/>
        <v>319.524</v>
      </c>
      <c r="E16">
        <f t="shared" si="5"/>
        <v>1291.9169999999999</v>
      </c>
      <c r="F16" s="72">
        <f t="shared" si="0"/>
        <v>508.37189830508476</v>
      </c>
      <c r="G16" s="72">
        <f t="shared" si="1"/>
        <v>-431.52310169491511</v>
      </c>
      <c r="H16">
        <f t="shared" si="3"/>
        <v>258441.98698631543</v>
      </c>
      <c r="I16">
        <f t="shared" si="2"/>
        <v>-219374.21837114214</v>
      </c>
    </row>
    <row r="17" spans="1:9" x14ac:dyDescent="0.35">
      <c r="A17" s="61">
        <v>16</v>
      </c>
      <c r="B17" s="55" t="s">
        <v>18</v>
      </c>
      <c r="C17">
        <v>1285.2919999999999</v>
      </c>
      <c r="D17">
        <f t="shared" si="4"/>
        <v>1259.4189999999999</v>
      </c>
      <c r="E17">
        <f t="shared" si="5"/>
        <v>319.524</v>
      </c>
      <c r="F17" s="72">
        <f t="shared" si="0"/>
        <v>534.2448983050848</v>
      </c>
      <c r="G17" s="72">
        <f t="shared" si="1"/>
        <v>508.37189830508476</v>
      </c>
      <c r="H17">
        <f t="shared" si="3"/>
        <v>285417.61136501038</v>
      </c>
      <c r="I17">
        <f t="shared" si="2"/>
        <v>271595.09311116295</v>
      </c>
    </row>
    <row r="18" spans="1:9" x14ac:dyDescent="0.35">
      <c r="A18" s="60">
        <v>17</v>
      </c>
      <c r="B18" s="54" t="s">
        <v>19</v>
      </c>
      <c r="C18">
        <v>1215.0540000000001</v>
      </c>
      <c r="D18">
        <f t="shared" si="4"/>
        <v>1285.2919999999999</v>
      </c>
      <c r="E18">
        <f t="shared" si="5"/>
        <v>1259.4189999999999</v>
      </c>
      <c r="F18" s="72">
        <f t="shared" si="0"/>
        <v>464.00689830508497</v>
      </c>
      <c r="G18" s="72">
        <f t="shared" si="1"/>
        <v>534.2448983050848</v>
      </c>
      <c r="H18">
        <f t="shared" si="3"/>
        <v>215302.40167470547</v>
      </c>
      <c r="I18">
        <f t="shared" si="2"/>
        <v>247893.31819785794</v>
      </c>
    </row>
    <row r="19" spans="1:9" x14ac:dyDescent="0.35">
      <c r="A19" s="61">
        <v>18</v>
      </c>
      <c r="B19" s="55" t="s">
        <v>20</v>
      </c>
      <c r="C19">
        <v>1216.5929999999998</v>
      </c>
      <c r="D19">
        <f t="shared" si="4"/>
        <v>1215.0540000000001</v>
      </c>
      <c r="E19">
        <f t="shared" si="5"/>
        <v>1285.2919999999999</v>
      </c>
      <c r="F19" s="72">
        <f t="shared" si="0"/>
        <v>465.54589830508473</v>
      </c>
      <c r="G19" s="72">
        <f t="shared" si="1"/>
        <v>464.00689830508497</v>
      </c>
      <c r="H19">
        <f t="shared" si="3"/>
        <v>216732.98342868828</v>
      </c>
      <c r="I19">
        <f t="shared" si="2"/>
        <v>216016.50829119689</v>
      </c>
    </row>
    <row r="20" spans="1:9" x14ac:dyDescent="0.35">
      <c r="A20" s="60">
        <v>19</v>
      </c>
      <c r="B20" s="54" t="s">
        <v>21</v>
      </c>
      <c r="C20">
        <v>1235.8220000000001</v>
      </c>
      <c r="D20">
        <f t="shared" si="4"/>
        <v>1216.5929999999998</v>
      </c>
      <c r="E20">
        <f t="shared" si="5"/>
        <v>1215.0540000000001</v>
      </c>
      <c r="F20" s="72">
        <f t="shared" si="0"/>
        <v>484.774898305085</v>
      </c>
      <c r="G20" s="72">
        <f t="shared" si="1"/>
        <v>465.54589830508473</v>
      </c>
      <c r="H20">
        <f t="shared" si="3"/>
        <v>235006.70202670552</v>
      </c>
      <c r="I20">
        <f t="shared" si="2"/>
        <v>225684.9655071969</v>
      </c>
    </row>
    <row r="21" spans="1:9" x14ac:dyDescent="0.35">
      <c r="A21" s="61">
        <v>20</v>
      </c>
      <c r="B21" s="55" t="s">
        <v>22</v>
      </c>
      <c r="C21">
        <v>335.93900000000002</v>
      </c>
      <c r="D21">
        <f t="shared" si="4"/>
        <v>1235.8220000000001</v>
      </c>
      <c r="E21">
        <f t="shared" si="5"/>
        <v>1216.5929999999998</v>
      </c>
      <c r="F21" s="72">
        <f t="shared" si="0"/>
        <v>-415.10810169491509</v>
      </c>
      <c r="G21" s="72">
        <f t="shared" si="1"/>
        <v>484.774898305085</v>
      </c>
      <c r="H21">
        <f t="shared" si="3"/>
        <v>172314.73609275598</v>
      </c>
      <c r="I21">
        <f t="shared" si="2"/>
        <v>-201233.98778476936</v>
      </c>
    </row>
    <row r="22" spans="1:9" x14ac:dyDescent="0.35">
      <c r="A22" s="60">
        <v>21</v>
      </c>
      <c r="B22" s="54" t="s">
        <v>23</v>
      </c>
      <c r="C22">
        <v>1333.7329999999999</v>
      </c>
      <c r="D22">
        <f t="shared" si="4"/>
        <v>335.93900000000002</v>
      </c>
      <c r="E22">
        <f t="shared" si="5"/>
        <v>1235.8220000000001</v>
      </c>
      <c r="F22" s="72">
        <f t="shared" si="0"/>
        <v>582.68589830508483</v>
      </c>
      <c r="G22" s="72">
        <f t="shared" si="1"/>
        <v>-415.10810169491509</v>
      </c>
      <c r="H22">
        <f t="shared" si="3"/>
        <v>339522.85608360369</v>
      </c>
      <c r="I22">
        <f t="shared" si="2"/>
        <v>-241877.6371298201</v>
      </c>
    </row>
    <row r="23" spans="1:9" x14ac:dyDescent="0.35">
      <c r="A23" s="61">
        <v>22</v>
      </c>
      <c r="B23" s="55" t="s">
        <v>24</v>
      </c>
      <c r="C23">
        <v>1154.7159999999999</v>
      </c>
      <c r="D23">
        <f t="shared" si="4"/>
        <v>1333.7329999999999</v>
      </c>
      <c r="E23">
        <f t="shared" si="5"/>
        <v>335.93900000000002</v>
      </c>
      <c r="F23" s="72">
        <f t="shared" si="0"/>
        <v>403.66889830508478</v>
      </c>
      <c r="G23" s="72">
        <f t="shared" si="1"/>
        <v>582.68589830508483</v>
      </c>
      <c r="H23">
        <f t="shared" si="3"/>
        <v>162948.57945884089</v>
      </c>
      <c r="I23">
        <f t="shared" si="2"/>
        <v>235212.17462672226</v>
      </c>
    </row>
    <row r="24" spans="1:9" x14ac:dyDescent="0.35">
      <c r="A24" s="60">
        <v>23</v>
      </c>
      <c r="B24" s="54" t="s">
        <v>25</v>
      </c>
      <c r="C24">
        <v>1259.8310000000001</v>
      </c>
      <c r="D24">
        <f t="shared" si="4"/>
        <v>1154.7159999999999</v>
      </c>
      <c r="E24">
        <f t="shared" si="5"/>
        <v>1333.7329999999999</v>
      </c>
      <c r="F24" s="72">
        <f t="shared" si="0"/>
        <v>508.78389830508502</v>
      </c>
      <c r="G24" s="72">
        <f t="shared" si="1"/>
        <v>403.66889830508478</v>
      </c>
      <c r="H24">
        <f t="shared" si="3"/>
        <v>258861.0551745191</v>
      </c>
      <c r="I24">
        <f t="shared" si="2"/>
        <v>205380.23570417997</v>
      </c>
    </row>
    <row r="25" spans="1:9" x14ac:dyDescent="0.35">
      <c r="A25" s="61">
        <v>24</v>
      </c>
      <c r="B25" s="55" t="s">
        <v>26</v>
      </c>
      <c r="C25">
        <v>336.137</v>
      </c>
      <c r="D25">
        <f t="shared" si="4"/>
        <v>1259.8310000000001</v>
      </c>
      <c r="E25">
        <f t="shared" si="5"/>
        <v>1154.7159999999999</v>
      </c>
      <c r="F25" s="72">
        <f t="shared" si="0"/>
        <v>-414.91010169491511</v>
      </c>
      <c r="G25" s="72">
        <f t="shared" si="1"/>
        <v>508.78389830508502</v>
      </c>
      <c r="H25">
        <f t="shared" si="3"/>
        <v>172150.39248848479</v>
      </c>
      <c r="I25">
        <f t="shared" si="2"/>
        <v>-211099.57898649818</v>
      </c>
    </row>
    <row r="26" spans="1:9" x14ac:dyDescent="0.35">
      <c r="A26" s="60">
        <v>25</v>
      </c>
      <c r="B26" s="54" t="s">
        <v>27</v>
      </c>
      <c r="C26">
        <v>385.94799999999998</v>
      </c>
      <c r="D26">
        <f t="shared" si="4"/>
        <v>336.137</v>
      </c>
      <c r="E26">
        <f t="shared" si="5"/>
        <v>1259.8310000000001</v>
      </c>
      <c r="F26" s="72">
        <f t="shared" si="0"/>
        <v>-365.09910169491513</v>
      </c>
      <c r="G26" s="72">
        <f t="shared" si="1"/>
        <v>-414.91010169491511</v>
      </c>
      <c r="H26">
        <f t="shared" si="3"/>
        <v>133297.35405843399</v>
      </c>
      <c r="I26">
        <f t="shared" si="2"/>
        <v>151483.30541295939</v>
      </c>
    </row>
    <row r="27" spans="1:9" x14ac:dyDescent="0.35">
      <c r="A27" s="61">
        <v>26</v>
      </c>
      <c r="B27" s="55" t="s">
        <v>28</v>
      </c>
      <c r="C27">
        <v>327.24599999999998</v>
      </c>
      <c r="D27">
        <f t="shared" si="4"/>
        <v>385.94799999999998</v>
      </c>
      <c r="E27">
        <f t="shared" si="5"/>
        <v>336.137</v>
      </c>
      <c r="F27" s="72">
        <f t="shared" si="0"/>
        <v>-423.80110169491513</v>
      </c>
      <c r="G27" s="72">
        <f t="shared" si="1"/>
        <v>-365.09910169491513</v>
      </c>
      <c r="H27">
        <f t="shared" si="3"/>
        <v>179607.37379782379</v>
      </c>
      <c r="I27">
        <f t="shared" si="2"/>
        <v>154729.4015261289</v>
      </c>
    </row>
    <row r="28" spans="1:9" x14ac:dyDescent="0.35">
      <c r="A28" s="60">
        <v>27</v>
      </c>
      <c r="B28" s="54" t="s">
        <v>29</v>
      </c>
      <c r="C28">
        <v>351.22</v>
      </c>
      <c r="D28">
        <f t="shared" si="4"/>
        <v>327.24599999999998</v>
      </c>
      <c r="E28">
        <f t="shared" si="5"/>
        <v>385.94799999999998</v>
      </c>
      <c r="F28" s="72">
        <f t="shared" si="0"/>
        <v>-399.82710169491509</v>
      </c>
      <c r="G28" s="72">
        <f t="shared" si="1"/>
        <v>-423.80110169491513</v>
      </c>
      <c r="H28">
        <f t="shared" si="3"/>
        <v>159861.71124975596</v>
      </c>
      <c r="I28">
        <f t="shared" si="2"/>
        <v>169447.16618578989</v>
      </c>
    </row>
    <row r="29" spans="1:9" x14ac:dyDescent="0.35">
      <c r="A29" s="61">
        <v>28</v>
      </c>
      <c r="B29" s="55" t="s">
        <v>30</v>
      </c>
      <c r="C29">
        <v>363.452</v>
      </c>
      <c r="D29">
        <f t="shared" si="4"/>
        <v>351.22</v>
      </c>
      <c r="E29">
        <f t="shared" si="5"/>
        <v>327.24599999999998</v>
      </c>
      <c r="F29" s="72">
        <f t="shared" si="0"/>
        <v>-387.59510169491512</v>
      </c>
      <c r="G29" s="72">
        <f t="shared" si="1"/>
        <v>-399.82710169491509</v>
      </c>
      <c r="H29">
        <f t="shared" si="3"/>
        <v>150229.9628578916</v>
      </c>
      <c r="I29">
        <f t="shared" si="2"/>
        <v>154971.02614182379</v>
      </c>
    </row>
    <row r="30" spans="1:9" x14ac:dyDescent="0.35">
      <c r="A30" s="60">
        <v>29</v>
      </c>
      <c r="B30" s="54" t="s">
        <v>31</v>
      </c>
      <c r="C30">
        <v>398.24599999999998</v>
      </c>
      <c r="D30">
        <f t="shared" si="4"/>
        <v>363.452</v>
      </c>
      <c r="E30">
        <f t="shared" si="5"/>
        <v>351.22</v>
      </c>
      <c r="F30" s="72">
        <f t="shared" si="0"/>
        <v>-352.80110169491513</v>
      </c>
      <c r="G30" s="72">
        <f t="shared" si="1"/>
        <v>-387.59510169491512</v>
      </c>
      <c r="H30">
        <f t="shared" si="3"/>
        <v>124468.61735714585</v>
      </c>
      <c r="I30">
        <f t="shared" si="2"/>
        <v>136743.97888951871</v>
      </c>
    </row>
    <row r="31" spans="1:9" x14ac:dyDescent="0.35">
      <c r="A31" s="61">
        <v>30</v>
      </c>
      <c r="B31" s="55" t="s">
        <v>32</v>
      </c>
      <c r="C31">
        <v>345.75400000000002</v>
      </c>
      <c r="D31">
        <f t="shared" si="4"/>
        <v>398.24599999999998</v>
      </c>
      <c r="E31">
        <f t="shared" si="5"/>
        <v>363.452</v>
      </c>
      <c r="F31" s="72">
        <f t="shared" si="0"/>
        <v>-405.29310169491509</v>
      </c>
      <c r="G31" s="72">
        <f t="shared" si="1"/>
        <v>-352.80110169491513</v>
      </c>
      <c r="H31">
        <f t="shared" si="3"/>
        <v>164262.49828148479</v>
      </c>
      <c r="I31">
        <f t="shared" si="2"/>
        <v>142987.85278731532</v>
      </c>
    </row>
    <row r="32" spans="1:9" x14ac:dyDescent="0.35">
      <c r="A32" s="60">
        <v>31</v>
      </c>
      <c r="B32" s="54" t="s">
        <v>33</v>
      </c>
      <c r="C32">
        <v>1315.4259999999999</v>
      </c>
      <c r="D32">
        <f t="shared" si="4"/>
        <v>345.75400000000002</v>
      </c>
      <c r="E32">
        <f t="shared" si="5"/>
        <v>398.24599999999998</v>
      </c>
      <c r="F32" s="72">
        <f t="shared" si="0"/>
        <v>564.37889830508482</v>
      </c>
      <c r="G32" s="72">
        <f t="shared" si="1"/>
        <v>-405.29310169491509</v>
      </c>
      <c r="H32">
        <f t="shared" si="3"/>
        <v>318523.5408520613</v>
      </c>
      <c r="I32">
        <f t="shared" si="2"/>
        <v>-228738.87422522687</v>
      </c>
    </row>
    <row r="33" spans="1:9" x14ac:dyDescent="0.35">
      <c r="A33" s="61">
        <v>32</v>
      </c>
      <c r="B33" s="55" t="s">
        <v>34</v>
      </c>
      <c r="C33">
        <v>388.87799999999999</v>
      </c>
      <c r="D33">
        <f t="shared" si="4"/>
        <v>1315.4259999999999</v>
      </c>
      <c r="E33">
        <f t="shared" si="5"/>
        <v>345.75400000000002</v>
      </c>
      <c r="F33" s="72">
        <f t="shared" si="0"/>
        <v>-362.16910169491513</v>
      </c>
      <c r="G33" s="72">
        <f t="shared" si="1"/>
        <v>564.37889830508482</v>
      </c>
      <c r="H33">
        <f t="shared" si="3"/>
        <v>131166.45822250177</v>
      </c>
      <c r="I33">
        <f t="shared" si="2"/>
        <v>-204400.59861471842</v>
      </c>
    </row>
    <row r="34" spans="1:9" x14ac:dyDescent="0.35">
      <c r="A34" s="60">
        <v>33</v>
      </c>
      <c r="B34" s="54" t="s">
        <v>35</v>
      </c>
      <c r="C34">
        <v>436.56599999999997</v>
      </c>
      <c r="D34">
        <f t="shared" si="4"/>
        <v>388.87799999999999</v>
      </c>
      <c r="E34">
        <f t="shared" si="5"/>
        <v>1315.4259999999999</v>
      </c>
      <c r="F34" s="72">
        <f t="shared" si="0"/>
        <v>-314.48110169491514</v>
      </c>
      <c r="G34" s="72">
        <f t="shared" si="1"/>
        <v>-362.16910169491513</v>
      </c>
      <c r="H34">
        <f t="shared" si="3"/>
        <v>98898.363323247555</v>
      </c>
      <c r="I34">
        <f t="shared" si="2"/>
        <v>113895.33810087467</v>
      </c>
    </row>
    <row r="35" spans="1:9" x14ac:dyDescent="0.35">
      <c r="A35" s="61">
        <v>34</v>
      </c>
      <c r="B35" s="55" t="s">
        <v>36</v>
      </c>
      <c r="C35">
        <v>377.14699999999999</v>
      </c>
      <c r="D35">
        <f t="shared" si="4"/>
        <v>436.56599999999997</v>
      </c>
      <c r="E35">
        <f t="shared" si="5"/>
        <v>388.87799999999999</v>
      </c>
      <c r="F35" s="72">
        <f t="shared" si="0"/>
        <v>-373.90010169491512</v>
      </c>
      <c r="G35" s="72">
        <f t="shared" si="1"/>
        <v>-314.48110169491514</v>
      </c>
      <c r="H35">
        <f t="shared" si="3"/>
        <v>139801.28604746787</v>
      </c>
      <c r="I35">
        <f t="shared" si="2"/>
        <v>117584.51590485772</v>
      </c>
    </row>
    <row r="36" spans="1:9" x14ac:dyDescent="0.35">
      <c r="A36" s="60">
        <v>35</v>
      </c>
      <c r="B36" s="54" t="s">
        <v>37</v>
      </c>
      <c r="C36">
        <v>392.77600000000001</v>
      </c>
      <c r="D36">
        <f t="shared" si="4"/>
        <v>377.14699999999999</v>
      </c>
      <c r="E36">
        <f t="shared" si="5"/>
        <v>436.56599999999997</v>
      </c>
      <c r="F36" s="72">
        <f t="shared" si="0"/>
        <v>-358.2711016949151</v>
      </c>
      <c r="G36" s="72">
        <f t="shared" si="1"/>
        <v>-373.90010169491512</v>
      </c>
      <c r="H36">
        <f t="shared" si="3"/>
        <v>128358.1823096882</v>
      </c>
      <c r="I36">
        <f t="shared" si="2"/>
        <v>133957.60135807804</v>
      </c>
    </row>
    <row r="37" spans="1:9" x14ac:dyDescent="0.35">
      <c r="A37" s="61">
        <v>36</v>
      </c>
      <c r="B37" s="55" t="s">
        <v>38</v>
      </c>
      <c r="C37">
        <v>415.23599999999999</v>
      </c>
      <c r="D37">
        <f t="shared" si="4"/>
        <v>392.77600000000001</v>
      </c>
      <c r="E37">
        <f t="shared" si="5"/>
        <v>377.14699999999999</v>
      </c>
      <c r="F37" s="72">
        <f t="shared" si="0"/>
        <v>-335.81110169491512</v>
      </c>
      <c r="G37" s="72">
        <f t="shared" si="1"/>
        <v>-358.2711016949151</v>
      </c>
      <c r="H37">
        <f t="shared" si="3"/>
        <v>112769.09602155263</v>
      </c>
      <c r="I37">
        <f t="shared" si="2"/>
        <v>120311.41336562041</v>
      </c>
    </row>
    <row r="38" spans="1:9" x14ac:dyDescent="0.35">
      <c r="A38" s="60">
        <v>37</v>
      </c>
      <c r="B38" s="54" t="s">
        <v>39</v>
      </c>
      <c r="C38">
        <v>473.8</v>
      </c>
      <c r="D38">
        <f t="shared" si="4"/>
        <v>415.23599999999999</v>
      </c>
      <c r="E38">
        <f t="shared" si="5"/>
        <v>392.77600000000001</v>
      </c>
      <c r="F38" s="72">
        <f t="shared" si="0"/>
        <v>-277.2471016949151</v>
      </c>
      <c r="G38" s="72">
        <f t="shared" si="1"/>
        <v>-335.81110169491512</v>
      </c>
      <c r="H38">
        <f t="shared" si="3"/>
        <v>76865.955398230595</v>
      </c>
      <c r="I38">
        <f t="shared" si="2"/>
        <v>93102.654661891604</v>
      </c>
    </row>
    <row r="39" spans="1:9" x14ac:dyDescent="0.35">
      <c r="A39" s="61">
        <v>38</v>
      </c>
      <c r="B39" s="55" t="s">
        <v>40</v>
      </c>
      <c r="C39">
        <v>422.54700000000003</v>
      </c>
      <c r="D39">
        <f t="shared" si="4"/>
        <v>473.8</v>
      </c>
      <c r="E39">
        <f t="shared" si="5"/>
        <v>415.23599999999999</v>
      </c>
      <c r="F39" s="72">
        <f t="shared" si="0"/>
        <v>-328.50010169491509</v>
      </c>
      <c r="G39" s="72">
        <f t="shared" si="1"/>
        <v>-277.2471016949151</v>
      </c>
      <c r="H39">
        <f t="shared" si="3"/>
        <v>107912.31681356956</v>
      </c>
      <c r="I39">
        <f t="shared" si="2"/>
        <v>91075.701101400075</v>
      </c>
    </row>
    <row r="40" spans="1:9" x14ac:dyDescent="0.35">
      <c r="A40" s="60">
        <v>39</v>
      </c>
      <c r="B40" s="54" t="s">
        <v>41</v>
      </c>
      <c r="C40">
        <v>472.53399999999999</v>
      </c>
      <c r="D40">
        <f t="shared" si="4"/>
        <v>422.54700000000003</v>
      </c>
      <c r="E40">
        <f t="shared" si="5"/>
        <v>473.8</v>
      </c>
      <c r="F40" s="72">
        <f t="shared" si="0"/>
        <v>-278.51310169491512</v>
      </c>
      <c r="G40" s="72">
        <f t="shared" si="1"/>
        <v>-328.50010169491509</v>
      </c>
      <c r="H40">
        <f t="shared" si="3"/>
        <v>77569.547815722137</v>
      </c>
      <c r="I40">
        <f t="shared" si="2"/>
        <v>91491.582230145839</v>
      </c>
    </row>
    <row r="41" spans="1:9" x14ac:dyDescent="0.35">
      <c r="A41" s="61">
        <v>40</v>
      </c>
      <c r="B41" s="55" t="s">
        <v>42</v>
      </c>
      <c r="C41">
        <v>482.935</v>
      </c>
      <c r="D41">
        <f t="shared" si="4"/>
        <v>472.53399999999999</v>
      </c>
      <c r="E41">
        <f t="shared" si="5"/>
        <v>422.54700000000003</v>
      </c>
      <c r="F41" s="72">
        <f t="shared" si="0"/>
        <v>-268.11210169491511</v>
      </c>
      <c r="G41" s="72">
        <f t="shared" si="1"/>
        <v>-278.51310169491512</v>
      </c>
      <c r="H41">
        <f t="shared" si="3"/>
        <v>71884.099075264501</v>
      </c>
      <c r="I41">
        <f t="shared" si="2"/>
        <v>74672.733044993322</v>
      </c>
    </row>
    <row r="42" spans="1:9" x14ac:dyDescent="0.35">
      <c r="A42" s="60">
        <v>41</v>
      </c>
      <c r="B42" s="54" t="s">
        <v>43</v>
      </c>
      <c r="C42">
        <v>510.27800000000002</v>
      </c>
      <c r="D42">
        <f t="shared" si="4"/>
        <v>482.935</v>
      </c>
      <c r="E42">
        <f t="shared" si="5"/>
        <v>472.53399999999999</v>
      </c>
      <c r="F42" s="72">
        <f t="shared" si="0"/>
        <v>-240.76910169491509</v>
      </c>
      <c r="G42" s="72">
        <f t="shared" si="1"/>
        <v>-268.11210169491511</v>
      </c>
      <c r="H42">
        <f t="shared" si="3"/>
        <v>57969.760330976365</v>
      </c>
      <c r="I42">
        <f t="shared" si="2"/>
        <v>64553.109878620431</v>
      </c>
    </row>
    <row r="43" spans="1:9" x14ac:dyDescent="0.35">
      <c r="A43" s="61">
        <v>42</v>
      </c>
      <c r="B43" s="55" t="s">
        <v>44</v>
      </c>
      <c r="C43">
        <v>451.50299999999999</v>
      </c>
      <c r="D43">
        <f t="shared" si="4"/>
        <v>510.27800000000002</v>
      </c>
      <c r="E43">
        <f t="shared" si="5"/>
        <v>482.935</v>
      </c>
      <c r="F43" s="72">
        <f t="shared" si="0"/>
        <v>-299.54410169491513</v>
      </c>
      <c r="G43" s="72">
        <f t="shared" si="1"/>
        <v>-240.76910169491509</v>
      </c>
      <c r="H43">
        <f t="shared" si="3"/>
        <v>89726.668860213656</v>
      </c>
      <c r="I43">
        <f t="shared" si="2"/>
        <v>72120.964283095003</v>
      </c>
    </row>
    <row r="44" spans="1:9" x14ac:dyDescent="0.35">
      <c r="A44" s="60">
        <v>43</v>
      </c>
      <c r="B44" s="54" t="s">
        <v>45</v>
      </c>
      <c r="C44">
        <v>501.505</v>
      </c>
      <c r="D44">
        <f t="shared" si="4"/>
        <v>451.50299999999999</v>
      </c>
      <c r="E44">
        <f t="shared" si="5"/>
        <v>510.27800000000002</v>
      </c>
      <c r="F44" s="72">
        <f t="shared" si="0"/>
        <v>-249.54210169491512</v>
      </c>
      <c r="G44" s="72">
        <f t="shared" si="1"/>
        <v>-299.54410169491513</v>
      </c>
      <c r="H44">
        <f t="shared" si="3"/>
        <v>62271.260518315357</v>
      </c>
      <c r="I44">
        <f t="shared" si="2"/>
        <v>74748.864687264504</v>
      </c>
    </row>
    <row r="45" spans="1:9" x14ac:dyDescent="0.35">
      <c r="A45" s="61">
        <v>44</v>
      </c>
      <c r="B45" s="55" t="s">
        <v>46</v>
      </c>
      <c r="C45">
        <v>630.40599999999995</v>
      </c>
      <c r="D45">
        <f t="shared" si="4"/>
        <v>501.505</v>
      </c>
      <c r="E45">
        <f t="shared" si="5"/>
        <v>451.50299999999999</v>
      </c>
      <c r="F45" s="72">
        <f t="shared" si="0"/>
        <v>-120.64110169491516</v>
      </c>
      <c r="G45" s="72">
        <f t="shared" si="1"/>
        <v>-249.54210169491512</v>
      </c>
      <c r="H45">
        <f t="shared" si="3"/>
        <v>14554.275418162862</v>
      </c>
      <c r="I45">
        <f t="shared" si="2"/>
        <v>30105.034067739118</v>
      </c>
    </row>
    <row r="46" spans="1:9" x14ac:dyDescent="0.35">
      <c r="A46" s="60">
        <v>45</v>
      </c>
      <c r="B46" s="54" t="s">
        <v>47</v>
      </c>
      <c r="C46">
        <v>701.13900000000001</v>
      </c>
      <c r="D46">
        <f t="shared" si="4"/>
        <v>630.40599999999995</v>
      </c>
      <c r="E46">
        <f t="shared" si="5"/>
        <v>501.505</v>
      </c>
      <c r="F46" s="72">
        <f t="shared" si="0"/>
        <v>-49.908101694915104</v>
      </c>
      <c r="G46" s="72">
        <f t="shared" si="1"/>
        <v>-120.64110169491516</v>
      </c>
      <c r="H46">
        <f t="shared" si="3"/>
        <v>2490.8186147899878</v>
      </c>
      <c r="I46">
        <f t="shared" si="2"/>
        <v>6020.9683719764207</v>
      </c>
    </row>
    <row r="47" spans="1:9" x14ac:dyDescent="0.35">
      <c r="A47" s="61">
        <v>46</v>
      </c>
      <c r="B47" s="55" t="s">
        <v>48</v>
      </c>
      <c r="C47">
        <v>649.98699999999997</v>
      </c>
      <c r="D47">
        <f t="shared" si="4"/>
        <v>701.13900000000001</v>
      </c>
      <c r="E47">
        <f t="shared" si="5"/>
        <v>630.40599999999995</v>
      </c>
      <c r="F47" s="72">
        <f t="shared" si="0"/>
        <v>-101.06010169491515</v>
      </c>
      <c r="G47" s="72">
        <f t="shared" si="1"/>
        <v>-49.908101694915104</v>
      </c>
      <c r="H47">
        <f t="shared" si="3"/>
        <v>10213.144154586591</v>
      </c>
      <c r="I47">
        <f t="shared" si="2"/>
        <v>5043.7178326882877</v>
      </c>
    </row>
    <row r="48" spans="1:9" x14ac:dyDescent="0.35">
      <c r="A48" s="60">
        <v>47</v>
      </c>
      <c r="B48" s="54" t="s">
        <v>49</v>
      </c>
      <c r="C48">
        <v>657.76400000000001</v>
      </c>
      <c r="D48">
        <f t="shared" si="4"/>
        <v>649.98699999999997</v>
      </c>
      <c r="E48">
        <f t="shared" si="5"/>
        <v>701.13900000000001</v>
      </c>
      <c r="F48" s="72">
        <f t="shared" si="0"/>
        <v>-93.283101694915104</v>
      </c>
      <c r="G48" s="72">
        <f t="shared" si="1"/>
        <v>-101.06010169491515</v>
      </c>
      <c r="H48">
        <f t="shared" si="3"/>
        <v>8701.7370618238729</v>
      </c>
      <c r="I48">
        <f t="shared" si="2"/>
        <v>9427.1997437052323</v>
      </c>
    </row>
    <row r="49" spans="1:9" x14ac:dyDescent="0.35">
      <c r="A49" s="61">
        <v>48</v>
      </c>
      <c r="B49" s="55" t="s">
        <v>50</v>
      </c>
      <c r="C49">
        <v>659.03200000000004</v>
      </c>
      <c r="D49">
        <f t="shared" si="4"/>
        <v>657.76400000000001</v>
      </c>
      <c r="E49">
        <f t="shared" si="5"/>
        <v>649.98699999999997</v>
      </c>
      <c r="F49" s="72">
        <f t="shared" si="0"/>
        <v>-92.015101694915074</v>
      </c>
      <c r="G49" s="72">
        <f t="shared" si="1"/>
        <v>-93.283101694915104</v>
      </c>
      <c r="H49">
        <f t="shared" si="3"/>
        <v>8466.7789399255635</v>
      </c>
      <c r="I49">
        <f t="shared" si="2"/>
        <v>8583.4540888747179</v>
      </c>
    </row>
    <row r="50" spans="1:9" x14ac:dyDescent="0.35">
      <c r="A50" s="60">
        <v>49</v>
      </c>
      <c r="B50" s="54" t="s">
        <v>51</v>
      </c>
      <c r="C50">
        <v>693.13</v>
      </c>
      <c r="D50">
        <f t="shared" si="4"/>
        <v>659.03200000000004</v>
      </c>
      <c r="E50">
        <f t="shared" si="5"/>
        <v>657.76400000000001</v>
      </c>
      <c r="F50" s="72">
        <f t="shared" si="0"/>
        <v>-57.917101694915118</v>
      </c>
      <c r="G50" s="72">
        <f t="shared" si="1"/>
        <v>-92.015101694915074</v>
      </c>
      <c r="H50">
        <f t="shared" si="3"/>
        <v>3354.3906687391395</v>
      </c>
      <c r="I50">
        <f t="shared" si="2"/>
        <v>5329.2480023323524</v>
      </c>
    </row>
    <row r="51" spans="1:9" x14ac:dyDescent="0.35">
      <c r="A51" s="61">
        <v>50</v>
      </c>
      <c r="B51" s="55" t="s">
        <v>52</v>
      </c>
      <c r="C51">
        <v>620.83500000000004</v>
      </c>
      <c r="D51">
        <f t="shared" si="4"/>
        <v>693.13</v>
      </c>
      <c r="E51">
        <f t="shared" si="5"/>
        <v>659.03200000000004</v>
      </c>
      <c r="F51" s="72">
        <f t="shared" si="0"/>
        <v>-130.21210169491508</v>
      </c>
      <c r="G51" s="72">
        <f t="shared" si="1"/>
        <v>-57.917101694915118</v>
      </c>
      <c r="H51">
        <f t="shared" si="3"/>
        <v>16955.191427806905</v>
      </c>
      <c r="I51">
        <f t="shared" si="2"/>
        <v>7541.5075357730257</v>
      </c>
    </row>
    <row r="52" spans="1:9" x14ac:dyDescent="0.35">
      <c r="A52" s="60">
        <v>51</v>
      </c>
      <c r="B52" s="54" t="s">
        <v>53</v>
      </c>
      <c r="C52">
        <v>646.48599999999999</v>
      </c>
      <c r="D52">
        <f t="shared" si="4"/>
        <v>620.83500000000004</v>
      </c>
      <c r="E52">
        <f t="shared" si="5"/>
        <v>693.13</v>
      </c>
      <c r="F52" s="72">
        <f t="shared" si="0"/>
        <v>-104.56110169491512</v>
      </c>
      <c r="G52" s="72">
        <f t="shared" si="1"/>
        <v>-130.21210169491508</v>
      </c>
      <c r="H52">
        <f t="shared" si="3"/>
        <v>10933.023987654382</v>
      </c>
      <c r="I52">
        <f t="shared" si="2"/>
        <v>13615.120807230645</v>
      </c>
    </row>
    <row r="53" spans="1:9" x14ac:dyDescent="0.35">
      <c r="A53" s="61">
        <v>52</v>
      </c>
      <c r="B53" s="55" t="s">
        <v>54</v>
      </c>
      <c r="C53">
        <v>674.28899999999999</v>
      </c>
      <c r="D53">
        <f t="shared" si="4"/>
        <v>646.48599999999999</v>
      </c>
      <c r="E53">
        <f t="shared" si="5"/>
        <v>620.83500000000004</v>
      </c>
      <c r="F53" s="72">
        <f t="shared" si="0"/>
        <v>-76.758101694915126</v>
      </c>
      <c r="G53" s="72">
        <f t="shared" si="1"/>
        <v>-104.56110169491512</v>
      </c>
      <c r="H53">
        <f t="shared" si="3"/>
        <v>5891.8061758069325</v>
      </c>
      <c r="I53">
        <f t="shared" si="2"/>
        <v>8025.911677230657</v>
      </c>
    </row>
    <row r="54" spans="1:9" x14ac:dyDescent="0.35">
      <c r="A54" s="60">
        <v>53</v>
      </c>
      <c r="B54" s="54" t="s">
        <v>55</v>
      </c>
      <c r="C54">
        <v>728.25599999999997</v>
      </c>
      <c r="D54">
        <f t="shared" si="4"/>
        <v>674.28899999999999</v>
      </c>
      <c r="E54">
        <f t="shared" si="5"/>
        <v>646.48599999999999</v>
      </c>
      <c r="F54" s="72">
        <f t="shared" si="0"/>
        <v>-22.791101694915142</v>
      </c>
      <c r="G54" s="72">
        <f t="shared" si="1"/>
        <v>-76.758101694915126</v>
      </c>
      <c r="H54">
        <f t="shared" si="3"/>
        <v>519.43431646796387</v>
      </c>
      <c r="I54">
        <f t="shared" si="2"/>
        <v>1749.4017016374489</v>
      </c>
    </row>
    <row r="55" spans="1:9" x14ac:dyDescent="0.35">
      <c r="A55" s="61">
        <v>54</v>
      </c>
      <c r="B55" s="55" t="s">
        <v>56</v>
      </c>
      <c r="C55">
        <v>652.16899999999998</v>
      </c>
      <c r="D55">
        <f t="shared" si="4"/>
        <v>728.25599999999997</v>
      </c>
      <c r="E55">
        <f t="shared" si="5"/>
        <v>674.28899999999999</v>
      </c>
      <c r="F55" s="72">
        <f t="shared" si="0"/>
        <v>-98.878101694915131</v>
      </c>
      <c r="G55" s="72">
        <f t="shared" si="1"/>
        <v>-22.791101694915142</v>
      </c>
      <c r="H55">
        <f t="shared" si="3"/>
        <v>9776.8789947899786</v>
      </c>
      <c r="I55">
        <f t="shared" si="2"/>
        <v>2253.540871128972</v>
      </c>
    </row>
    <row r="56" spans="1:9" x14ac:dyDescent="0.35">
      <c r="A56" s="60">
        <v>55</v>
      </c>
      <c r="B56" s="54" t="s">
        <v>57</v>
      </c>
      <c r="C56">
        <v>691.10199999999998</v>
      </c>
      <c r="D56">
        <f t="shared" si="4"/>
        <v>652.16899999999998</v>
      </c>
      <c r="E56">
        <f t="shared" si="5"/>
        <v>728.25599999999997</v>
      </c>
      <c r="F56" s="72">
        <f t="shared" si="0"/>
        <v>-59.945101694915138</v>
      </c>
      <c r="G56" s="72">
        <f t="shared" si="1"/>
        <v>-98.878101694915131</v>
      </c>
      <c r="H56">
        <f t="shared" si="3"/>
        <v>3593.4152172137178</v>
      </c>
      <c r="I56">
        <f t="shared" si="2"/>
        <v>5927.2578615018483</v>
      </c>
    </row>
    <row r="57" spans="1:9" x14ac:dyDescent="0.35">
      <c r="A57" s="61">
        <v>56</v>
      </c>
      <c r="B57" s="55" t="s">
        <v>58</v>
      </c>
      <c r="C57">
        <v>708.39300000000003</v>
      </c>
      <c r="D57">
        <f t="shared" si="4"/>
        <v>691.10199999999998</v>
      </c>
      <c r="E57">
        <f t="shared" si="5"/>
        <v>652.16899999999998</v>
      </c>
      <c r="F57" s="72">
        <f t="shared" si="0"/>
        <v>-42.654101694915084</v>
      </c>
      <c r="G57" s="72">
        <f t="shared" si="1"/>
        <v>-59.945101694915138</v>
      </c>
      <c r="H57">
        <f t="shared" si="3"/>
        <v>1819.3723914001578</v>
      </c>
      <c r="I57">
        <f t="shared" si="2"/>
        <v>2556.9044638069367</v>
      </c>
    </row>
    <row r="58" spans="1:9" x14ac:dyDescent="0.35">
      <c r="A58" s="60">
        <v>57</v>
      </c>
      <c r="B58" s="54" t="s">
        <v>59</v>
      </c>
      <c r="C58">
        <v>780.24</v>
      </c>
      <c r="D58">
        <f t="shared" si="4"/>
        <v>708.39300000000003</v>
      </c>
      <c r="E58">
        <f t="shared" si="5"/>
        <v>691.10199999999998</v>
      </c>
      <c r="F58" s="72">
        <f t="shared" si="0"/>
        <v>29.192898305084896</v>
      </c>
      <c r="G58" s="72">
        <f t="shared" si="1"/>
        <v>-42.654101694915084</v>
      </c>
      <c r="H58">
        <f t="shared" si="3"/>
        <v>852.22531145102857</v>
      </c>
      <c r="I58">
        <f t="shared" si="2"/>
        <v>-1245.1968530744052</v>
      </c>
    </row>
    <row r="59" spans="1:9" x14ac:dyDescent="0.35">
      <c r="A59" s="61">
        <v>58</v>
      </c>
      <c r="B59" s="55" t="s">
        <v>60</v>
      </c>
      <c r="C59">
        <v>710.03</v>
      </c>
      <c r="D59">
        <f t="shared" si="4"/>
        <v>780.24</v>
      </c>
      <c r="E59">
        <f t="shared" si="5"/>
        <v>708.39300000000003</v>
      </c>
      <c r="F59" s="72">
        <f t="shared" si="0"/>
        <v>-41.017101694915141</v>
      </c>
      <c r="G59" s="72">
        <f t="shared" si="1"/>
        <v>29.192898305084896</v>
      </c>
      <c r="H59">
        <f t="shared" si="3"/>
        <v>1682.4026314510106</v>
      </c>
      <c r="I59">
        <f t="shared" si="2"/>
        <v>-1197.408078548983</v>
      </c>
    </row>
    <row r="60" spans="1:9" x14ac:dyDescent="0.35">
      <c r="A60" s="60">
        <v>59</v>
      </c>
      <c r="B60" s="54" t="s">
        <v>61</v>
      </c>
      <c r="C60">
        <v>749.40700000000004</v>
      </c>
      <c r="D60">
        <f t="shared" si="4"/>
        <v>710.03</v>
      </c>
      <c r="E60">
        <f t="shared" si="5"/>
        <v>780.24</v>
      </c>
      <c r="F60" s="72">
        <f t="shared" si="0"/>
        <v>-1.6401016949150744</v>
      </c>
      <c r="G60" s="72">
        <f t="shared" si="1"/>
        <v>-41.017101694915141</v>
      </c>
      <c r="H60">
        <f t="shared" si="3"/>
        <v>2.6899335696633</v>
      </c>
      <c r="I60">
        <f t="shared" si="2"/>
        <v>67.272218010334299</v>
      </c>
    </row>
    <row r="61" spans="1:9" x14ac:dyDescent="0.35">
      <c r="A61" s="75"/>
      <c r="B61" s="76"/>
      <c r="C61">
        <f>SUBTOTAL(109,Tabla921[Datos originales Yt])</f>
        <v>44311.778999999995</v>
      </c>
      <c r="F61" s="72">
        <f>SUBTOTAL(109,Tabla921[(Yt -Ȳ)])</f>
        <v>9.0949470177292824E-12</v>
      </c>
      <c r="G61" s="72"/>
      <c r="H61">
        <f>SUBTOTAL(109,Tabla921[(Yt-1 -Ȳ)2])</f>
        <v>6333877.4044313915</v>
      </c>
      <c r="I61">
        <f>SUBTOTAL(109,Tabla921[(Yt -Ȳ)(Yt -1 -Ȳ)])</f>
        <v>3087703.2715414139</v>
      </c>
    </row>
    <row r="65" spans="1:9" x14ac:dyDescent="0.35">
      <c r="C65" s="66" t="s">
        <v>1235</v>
      </c>
      <c r="D65" s="77">
        <f>SUM(Tabla921[Datos originales Yt])/COUNT(Tabla921[Datos originales Yt])</f>
        <v>751.04710169491511</v>
      </c>
    </row>
    <row r="66" spans="1:9" ht="58" x14ac:dyDescent="0.35">
      <c r="B66" s="67" t="s">
        <v>1246</v>
      </c>
      <c r="C66" s="66" t="s">
        <v>1236</v>
      </c>
      <c r="D66" s="87">
        <f>Tabla921[[#Totals],[(Yt -Ȳ)(Yt -1 -Ȳ)]]/Tabla921[[#Totals],[(Yt-1 -Ȳ)2]]</f>
        <v>0.48749021719005076</v>
      </c>
      <c r="E66" t="s">
        <v>1245</v>
      </c>
    </row>
    <row r="67" spans="1:9" x14ac:dyDescent="0.35">
      <c r="C67" s="66" t="s">
        <v>1244</v>
      </c>
      <c r="D67">
        <f>POWER(D66,2)</f>
        <v>0.23764671185600286</v>
      </c>
    </row>
    <row r="70" spans="1:9" ht="43.5" x14ac:dyDescent="0.35">
      <c r="A70" s="83" t="s">
        <v>1231</v>
      </c>
      <c r="B70" s="84" t="s">
        <v>1205</v>
      </c>
      <c r="C70" s="85" t="s">
        <v>1232</v>
      </c>
      <c r="D70" s="85" t="s">
        <v>1234</v>
      </c>
      <c r="E70" s="85" t="s">
        <v>1242</v>
      </c>
      <c r="F70" s="84" t="s">
        <v>1237</v>
      </c>
      <c r="G70" s="84" t="s">
        <v>1238</v>
      </c>
      <c r="H70" s="84" t="s">
        <v>1240</v>
      </c>
      <c r="I70" s="83" t="s">
        <v>1241</v>
      </c>
    </row>
    <row r="71" spans="1:9" x14ac:dyDescent="0.35">
      <c r="A71" s="60">
        <v>1</v>
      </c>
      <c r="B71" s="54" t="s">
        <v>3</v>
      </c>
      <c r="C71" s="34">
        <v>917.14</v>
      </c>
      <c r="E71" s="86">
        <f>C71-$D$65</f>
        <v>166.09289830508487</v>
      </c>
      <c r="H71">
        <f>POWER(Tabla1322[[#This Row],[Y atarsada un periodo Y t-22]],2)</f>
        <v>27586.850867383266</v>
      </c>
      <c r="I71">
        <f>Tabla1322[[#This Row],[Y atarsada un periodo Y t-22]]*Tabla1322[[#This Row],[(Yt-1 -Ȳ)2]]</f>
        <v>4581980.0156738311</v>
      </c>
    </row>
    <row r="72" spans="1:9" x14ac:dyDescent="0.35">
      <c r="A72" s="61">
        <v>2</v>
      </c>
      <c r="B72" s="55" t="s">
        <v>4</v>
      </c>
      <c r="C72" s="50">
        <v>924.44799999999998</v>
      </c>
      <c r="E72" s="72">
        <f t="shared" ref="E72:E129" si="6">C72-$D$65</f>
        <v>173.40089830508487</v>
      </c>
      <c r="H72">
        <f>POWER(Tabla1322[[#This Row],[Y atarsada un periodo Y t-22]],2)</f>
        <v>30067.871533010384</v>
      </c>
      <c r="I72">
        <f>Tabla1322[[#This Row],[Y atarsada un periodo Y t-22]]*Tabla1322[[#This Row],[(Yt-1 -Ȳ)2]]</f>
        <v>5213795.9339458896</v>
      </c>
    </row>
    <row r="73" spans="1:9" x14ac:dyDescent="0.35">
      <c r="A73" s="60">
        <v>3</v>
      </c>
      <c r="B73" s="54" t="s">
        <v>5</v>
      </c>
      <c r="C73" s="34">
        <v>886.40700000000004</v>
      </c>
      <c r="D73">
        <f>C71</f>
        <v>917.14</v>
      </c>
      <c r="E73" s="72">
        <f t="shared" si="6"/>
        <v>135.35989830508493</v>
      </c>
      <c r="F73" s="72">
        <f>E71</f>
        <v>166.09289830508487</v>
      </c>
      <c r="H73">
        <f>POWER(Tabla1322[[#This Row],[Y atarsada un periodo Y t-22]],2)</f>
        <v>18322.302069162932</v>
      </c>
      <c r="I73">
        <f>Tabla1322[[#This Row],[Y atarsada un periodo Y t-22]]*Tabla1322[[#This Row],[(Yt-1 -Ȳ)2]]</f>
        <v>2480104.9447969417</v>
      </c>
    </row>
    <row r="74" spans="1:9" x14ac:dyDescent="0.35">
      <c r="A74" s="61">
        <v>4</v>
      </c>
      <c r="B74" s="55" t="s">
        <v>6</v>
      </c>
      <c r="C74" s="50">
        <v>964.53700000000003</v>
      </c>
      <c r="D74">
        <f t="shared" ref="D74:D129" si="7">C72</f>
        <v>924.44799999999998</v>
      </c>
      <c r="E74" s="72">
        <f t="shared" si="6"/>
        <v>213.48989830508492</v>
      </c>
      <c r="F74" s="72">
        <f t="shared" ref="F74:F129" si="8">E72</f>
        <v>173.40089830508487</v>
      </c>
      <c r="H74">
        <f>POWER(Tabla1322[[#This Row],[Y atarsada un periodo Y t-22]],2)</f>
        <v>45577.936678315498</v>
      </c>
      <c r="I74">
        <f>Tabla1322[[#This Row],[Y atarsada un periodo Y t-22]]*Tabla1322[[#This Row],[(Yt-1 -Ȳ)2]]</f>
        <v>9730429.0664091762</v>
      </c>
    </row>
    <row r="75" spans="1:9" x14ac:dyDescent="0.35">
      <c r="A75" s="60">
        <v>5</v>
      </c>
      <c r="B75" s="54" t="s">
        <v>7</v>
      </c>
      <c r="C75" s="34">
        <v>978.52</v>
      </c>
      <c r="D75">
        <f t="shared" si="7"/>
        <v>886.40700000000004</v>
      </c>
      <c r="E75" s="72">
        <f t="shared" si="6"/>
        <v>227.47289830508487</v>
      </c>
      <c r="F75" s="72">
        <f t="shared" si="8"/>
        <v>135.35989830508493</v>
      </c>
      <c r="H75">
        <f>POWER(Tabla1322[[#This Row],[Y atarsada un periodo Y t-22]],2)</f>
        <v>51743.919463315484</v>
      </c>
      <c r="I75">
        <f>Tabla1322[[#This Row],[Y atarsada un periodo Y t-22]]*Tabla1322[[#This Row],[(Yt-1 -Ȳ)2]]</f>
        <v>11770339.329985265</v>
      </c>
    </row>
    <row r="76" spans="1:9" x14ac:dyDescent="0.35">
      <c r="A76" s="61">
        <v>6</v>
      </c>
      <c r="B76" s="55" t="s">
        <v>8</v>
      </c>
      <c r="C76" s="50">
        <v>956.23199999999997</v>
      </c>
      <c r="D76">
        <f t="shared" si="7"/>
        <v>964.53700000000003</v>
      </c>
      <c r="E76" s="72">
        <f t="shared" si="6"/>
        <v>205.18489830508486</v>
      </c>
      <c r="F76" s="72">
        <f t="shared" si="8"/>
        <v>213.48989830508492</v>
      </c>
      <c r="H76">
        <f>POWER(Tabla1322[[#This Row],[Y atarsada un periodo Y t-22]],2)</f>
        <v>42100.842492468015</v>
      </c>
      <c r="I76">
        <f>Tabla1322[[#This Row],[Y atarsada un periodo Y t-22]]*Tabla1322[[#This Row],[(Yt-1 -Ȳ)2]]</f>
        <v>8638457.085375445</v>
      </c>
    </row>
    <row r="77" spans="1:9" x14ac:dyDescent="0.35">
      <c r="A77" s="60">
        <v>7</v>
      </c>
      <c r="B77" s="54" t="s">
        <v>9</v>
      </c>
      <c r="C77" s="34">
        <v>968.13100000000009</v>
      </c>
      <c r="D77">
        <f t="shared" si="7"/>
        <v>978.52</v>
      </c>
      <c r="E77" s="72">
        <f t="shared" si="6"/>
        <v>217.08389830508497</v>
      </c>
      <c r="F77" s="72">
        <f t="shared" si="8"/>
        <v>227.47289830508487</v>
      </c>
      <c r="H77">
        <f>POWER(Tabla1322[[#This Row],[Y atarsada un periodo Y t-22]],2)</f>
        <v>47125.418903332473</v>
      </c>
      <c r="I77">
        <f>Tabla1322[[#This Row],[Y atarsada un periodo Y t-22]]*Tabla1322[[#This Row],[(Yt-1 -Ȳ)2]]</f>
        <v>10230169.644795556</v>
      </c>
    </row>
    <row r="78" spans="1:9" x14ac:dyDescent="0.35">
      <c r="A78" s="61">
        <v>8</v>
      </c>
      <c r="B78" s="55" t="s">
        <v>10</v>
      </c>
      <c r="C78" s="50">
        <v>1075.4270000000001</v>
      </c>
      <c r="D78">
        <f t="shared" si="7"/>
        <v>956.23199999999997</v>
      </c>
      <c r="E78" s="72">
        <f t="shared" si="6"/>
        <v>324.37989830508502</v>
      </c>
      <c r="F78" s="72">
        <f t="shared" si="8"/>
        <v>205.18489830508486</v>
      </c>
      <c r="H78">
        <f>POWER(Tabla1322[[#This Row],[Y atarsada un periodo Y t-22]],2)</f>
        <v>105222.3184244173</v>
      </c>
      <c r="I78">
        <f>Tabla1322[[#This Row],[Y atarsada un periodo Y t-22]]*Tabla1322[[#This Row],[(Yt-1 -Ȳ)2]]</f>
        <v>34132004.949937761</v>
      </c>
    </row>
    <row r="79" spans="1:9" x14ac:dyDescent="0.35">
      <c r="A79" s="60">
        <v>9</v>
      </c>
      <c r="B79" s="54" t="s">
        <v>11</v>
      </c>
      <c r="C79" s="34">
        <v>1099.3690000000001</v>
      </c>
      <c r="D79">
        <f t="shared" si="7"/>
        <v>968.13100000000009</v>
      </c>
      <c r="E79" s="72">
        <f t="shared" si="6"/>
        <v>348.32189830508503</v>
      </c>
      <c r="F79" s="72">
        <f t="shared" si="8"/>
        <v>217.08389830508497</v>
      </c>
      <c r="H79">
        <f>POWER(Tabla1322[[#This Row],[Y atarsada un periodo Y t-22]],2)</f>
        <v>121328.144838858</v>
      </c>
      <c r="I79">
        <f>Tabla1322[[#This Row],[Y atarsada un periodo Y t-22]]*Tabla1322[[#This Row],[(Yt-1 -Ȳ)2]]</f>
        <v>42261249.728105322</v>
      </c>
    </row>
    <row r="80" spans="1:9" x14ac:dyDescent="0.35">
      <c r="A80" s="61">
        <v>10</v>
      </c>
      <c r="B80" s="55" t="s">
        <v>12</v>
      </c>
      <c r="C80" s="50">
        <v>1099.683</v>
      </c>
      <c r="D80">
        <f t="shared" si="7"/>
        <v>1075.4270000000001</v>
      </c>
      <c r="E80" s="72">
        <f t="shared" si="6"/>
        <v>348.63589830508488</v>
      </c>
      <c r="F80" s="72">
        <f t="shared" si="8"/>
        <v>324.37989830508502</v>
      </c>
      <c r="H80">
        <f>POWER(Tabla1322[[#This Row],[Y atarsada un periodo Y t-22]],2)</f>
        <v>121546.98958699348</v>
      </c>
      <c r="I80">
        <f>Tabla1322[[#This Row],[Y atarsada un periodo Y t-22]]*Tabla1322[[#This Row],[(Yt-1 -Ȳ)2]]</f>
        <v>42375643.900940269</v>
      </c>
    </row>
    <row r="81" spans="1:9" x14ac:dyDescent="0.35">
      <c r="A81" s="60">
        <v>11</v>
      </c>
      <c r="B81" s="54" t="s">
        <v>13</v>
      </c>
      <c r="C81" s="34">
        <v>1145.5529999999999</v>
      </c>
      <c r="D81">
        <f t="shared" si="7"/>
        <v>1099.3690000000001</v>
      </c>
      <c r="E81" s="72">
        <f t="shared" si="6"/>
        <v>394.50589830508477</v>
      </c>
      <c r="F81" s="72">
        <f t="shared" si="8"/>
        <v>348.32189830508503</v>
      </c>
      <c r="H81">
        <f>POWER(Tabla1322[[#This Row],[Y atarsada un periodo Y t-22]],2)</f>
        <v>155634.90379750187</v>
      </c>
      <c r="I81">
        <f>Tabla1322[[#This Row],[Y atarsada un periodo Y t-22]]*Tabla1322[[#This Row],[(Yt-1 -Ȳ)2]]</f>
        <v>61398887.530258924</v>
      </c>
    </row>
    <row r="82" spans="1:9" x14ac:dyDescent="0.35">
      <c r="A82" s="61">
        <v>12</v>
      </c>
      <c r="B82" s="55" t="s">
        <v>14</v>
      </c>
      <c r="C82" s="50">
        <v>1286.693</v>
      </c>
      <c r="D82">
        <f t="shared" si="7"/>
        <v>1099.683</v>
      </c>
      <c r="E82" s="72">
        <f t="shared" si="6"/>
        <v>535.64589830508487</v>
      </c>
      <c r="F82" s="72">
        <f t="shared" si="8"/>
        <v>348.63589830508488</v>
      </c>
      <c r="H82">
        <f>POWER(Tabla1322[[#This Row],[Y atarsada un periodo Y t-22]],2)</f>
        <v>286916.52837106131</v>
      </c>
      <c r="I82">
        <f>Tabla1322[[#This Row],[Y atarsada un periodo Y t-22]]*Tabla1322[[#This Row],[(Yt-1 -Ȳ)2]]</f>
        <v>153685661.5778935</v>
      </c>
    </row>
    <row r="83" spans="1:9" x14ac:dyDescent="0.35">
      <c r="A83" s="60">
        <v>13</v>
      </c>
      <c r="B83" s="54" t="s">
        <v>15</v>
      </c>
      <c r="C83" s="34">
        <v>1291.9169999999999</v>
      </c>
      <c r="D83">
        <f t="shared" si="7"/>
        <v>1145.5529999999999</v>
      </c>
      <c r="E83" s="72">
        <f t="shared" si="6"/>
        <v>540.8698983050848</v>
      </c>
      <c r="F83" s="72">
        <f t="shared" si="8"/>
        <v>394.50589830508477</v>
      </c>
      <c r="H83">
        <f>POWER(Tabla1322[[#This Row],[Y atarsada un periodo Y t-22]],2)</f>
        <v>292540.24689255276</v>
      </c>
      <c r="I83">
        <f>Tabla1322[[#This Row],[Y atarsada un periodo Y t-22]]*Tabla1322[[#This Row],[(Yt-1 -Ȳ)2]]</f>
        <v>158226213.58691943</v>
      </c>
    </row>
    <row r="84" spans="1:9" x14ac:dyDescent="0.35">
      <c r="A84" s="61">
        <v>14</v>
      </c>
      <c r="B84" s="55" t="s">
        <v>16</v>
      </c>
      <c r="C84" s="50">
        <v>319.524</v>
      </c>
      <c r="D84">
        <f t="shared" si="7"/>
        <v>1286.693</v>
      </c>
      <c r="E84" s="72">
        <f t="shared" si="6"/>
        <v>-431.52310169491511</v>
      </c>
      <c r="F84" s="72">
        <f t="shared" si="8"/>
        <v>535.64589830508487</v>
      </c>
      <c r="H84">
        <f>POWER(Tabla1322[[#This Row],[Y atarsada un periodo Y t-22]],2)</f>
        <v>186212.18729640005</v>
      </c>
      <c r="I84">
        <f>Tabla1322[[#This Row],[Y atarsada un periodo Y t-22]]*Tabla1322[[#This Row],[(Yt-1 -Ȳ)2]]</f>
        <v>-80354860.635537013</v>
      </c>
    </row>
    <row r="85" spans="1:9" x14ac:dyDescent="0.35">
      <c r="A85" s="60">
        <v>15</v>
      </c>
      <c r="B85" s="54" t="s">
        <v>17</v>
      </c>
      <c r="C85" s="34">
        <v>1259.4189999999999</v>
      </c>
      <c r="D85">
        <f t="shared" si="7"/>
        <v>1291.9169999999999</v>
      </c>
      <c r="E85" s="72">
        <f t="shared" si="6"/>
        <v>508.37189830508476</v>
      </c>
      <c r="F85" s="72">
        <f t="shared" si="8"/>
        <v>540.8698983050848</v>
      </c>
      <c r="H85">
        <f>POWER(Tabla1322[[#This Row],[Y atarsada un periodo Y t-22]],2)</f>
        <v>258441.98698631543</v>
      </c>
      <c r="I85">
        <f>Tabla1322[[#This Row],[Y atarsada un periodo Y t-22]]*Tabla1322[[#This Row],[(Yt-1 -Ȳ)2]]</f>
        <v>131384643.52597119</v>
      </c>
    </row>
    <row r="86" spans="1:9" x14ac:dyDescent="0.35">
      <c r="A86" s="61">
        <v>16</v>
      </c>
      <c r="B86" s="55" t="s">
        <v>18</v>
      </c>
      <c r="C86" s="50">
        <v>1285.2919999999999</v>
      </c>
      <c r="D86">
        <f t="shared" si="7"/>
        <v>319.524</v>
      </c>
      <c r="E86" s="72">
        <f t="shared" si="6"/>
        <v>534.2448983050848</v>
      </c>
      <c r="F86" s="72">
        <f t="shared" si="8"/>
        <v>-431.52310169491511</v>
      </c>
      <c r="H86">
        <f>POWER(Tabla1322[[#This Row],[Y atarsada un periodo Y t-22]],2)</f>
        <v>285417.61136501038</v>
      </c>
      <c r="I86">
        <f>Tabla1322[[#This Row],[Y atarsada un periodo Y t-22]]*Tabla1322[[#This Row],[(Yt-1 -Ȳ)2]]</f>
        <v>152482902.7581802</v>
      </c>
    </row>
    <row r="87" spans="1:9" x14ac:dyDescent="0.35">
      <c r="A87" s="60">
        <v>17</v>
      </c>
      <c r="B87" s="54" t="s">
        <v>19</v>
      </c>
      <c r="C87" s="34">
        <v>1215.0540000000001</v>
      </c>
      <c r="D87">
        <f t="shared" si="7"/>
        <v>1259.4189999999999</v>
      </c>
      <c r="E87" s="72">
        <f t="shared" si="6"/>
        <v>464.00689830508497</v>
      </c>
      <c r="F87" s="72">
        <f t="shared" si="8"/>
        <v>508.37189830508476</v>
      </c>
      <c r="H87">
        <f>POWER(Tabla1322[[#This Row],[Y atarsada un periodo Y t-22]],2)</f>
        <v>215302.40167470547</v>
      </c>
      <c r="I87">
        <f>Tabla1322[[#This Row],[Y atarsada un periodo Y t-22]]*Tabla1322[[#This Row],[(Yt-1 -Ȳ)2]]</f>
        <v>99901799.598715618</v>
      </c>
    </row>
    <row r="88" spans="1:9" x14ac:dyDescent="0.35">
      <c r="A88" s="61">
        <v>18</v>
      </c>
      <c r="B88" s="55" t="s">
        <v>20</v>
      </c>
      <c r="C88" s="50">
        <v>1216.5929999999998</v>
      </c>
      <c r="D88">
        <f t="shared" si="7"/>
        <v>1285.2919999999999</v>
      </c>
      <c r="E88" s="72">
        <f t="shared" si="6"/>
        <v>465.54589830508473</v>
      </c>
      <c r="F88" s="72">
        <f t="shared" si="8"/>
        <v>534.2448983050848</v>
      </c>
      <c r="H88">
        <f>POWER(Tabla1322[[#This Row],[Y atarsada un periodo Y t-22]],2)</f>
        <v>216732.98342868828</v>
      </c>
      <c r="I88">
        <f>Tabla1322[[#This Row],[Y atarsada un periodo Y t-22]]*Tabla1322[[#This Row],[(Yt-1 -Ȳ)2]]</f>
        <v>100899151.46264973</v>
      </c>
    </row>
    <row r="89" spans="1:9" x14ac:dyDescent="0.35">
      <c r="A89" s="60">
        <v>19</v>
      </c>
      <c r="B89" s="54" t="s">
        <v>21</v>
      </c>
      <c r="C89" s="34">
        <v>1235.8220000000001</v>
      </c>
      <c r="D89">
        <f t="shared" si="7"/>
        <v>1215.0540000000001</v>
      </c>
      <c r="E89" s="72">
        <f t="shared" si="6"/>
        <v>484.774898305085</v>
      </c>
      <c r="F89" s="72">
        <f t="shared" si="8"/>
        <v>464.00689830508497</v>
      </c>
      <c r="H89">
        <f>POWER(Tabla1322[[#This Row],[Y atarsada un periodo Y t-22]],2)</f>
        <v>235006.70202670552</v>
      </c>
      <c r="I89">
        <f>Tabla1322[[#This Row],[Y atarsada un periodo Y t-22]]*Tabla1322[[#This Row],[(Yt-1 -Ȳ)2]]</f>
        <v>113925350.07600959</v>
      </c>
    </row>
    <row r="90" spans="1:9" x14ac:dyDescent="0.35">
      <c r="A90" s="61">
        <v>20</v>
      </c>
      <c r="B90" s="55" t="s">
        <v>22</v>
      </c>
      <c r="C90" s="50">
        <v>335.93900000000002</v>
      </c>
      <c r="D90">
        <f t="shared" si="7"/>
        <v>1216.5929999999998</v>
      </c>
      <c r="E90" s="72">
        <f t="shared" si="6"/>
        <v>-415.10810169491509</v>
      </c>
      <c r="F90" s="72">
        <f t="shared" si="8"/>
        <v>465.54589830508473</v>
      </c>
      <c r="H90">
        <f>POWER(Tabla1322[[#This Row],[Y atarsada un periodo Y t-22]],2)</f>
        <v>172314.73609275598</v>
      </c>
      <c r="I90">
        <f>Tabla1322[[#This Row],[Y atarsada un periodo Y t-22]]*Tabla1322[[#This Row],[(Yt-1 -Ȳ)2]]</f>
        <v>-71529242.993524209</v>
      </c>
    </row>
    <row r="91" spans="1:9" x14ac:dyDescent="0.35">
      <c r="A91" s="60">
        <v>21</v>
      </c>
      <c r="B91" s="54" t="s">
        <v>23</v>
      </c>
      <c r="C91" s="34">
        <v>1333.7329999999999</v>
      </c>
      <c r="D91">
        <f t="shared" si="7"/>
        <v>1235.8220000000001</v>
      </c>
      <c r="E91" s="72">
        <f t="shared" si="6"/>
        <v>582.68589830508483</v>
      </c>
      <c r="F91" s="72">
        <f t="shared" si="8"/>
        <v>484.774898305085</v>
      </c>
      <c r="H91">
        <f>POWER(Tabla1322[[#This Row],[Y atarsada un periodo Y t-22]],2)</f>
        <v>339522.85608360369</v>
      </c>
      <c r="I91">
        <f>Tabla1322[[#This Row],[Y atarsada un periodo Y t-22]]*Tabla1322[[#This Row],[(Yt-1 -Ȳ)2]]</f>
        <v>197835180.39218265</v>
      </c>
    </row>
    <row r="92" spans="1:9" x14ac:dyDescent="0.35">
      <c r="A92" s="61">
        <v>22</v>
      </c>
      <c r="B92" s="55" t="s">
        <v>24</v>
      </c>
      <c r="C92" s="50">
        <v>1154.7159999999999</v>
      </c>
      <c r="D92">
        <f t="shared" si="7"/>
        <v>335.93900000000002</v>
      </c>
      <c r="E92" s="72">
        <f t="shared" si="6"/>
        <v>403.66889830508478</v>
      </c>
      <c r="F92" s="72">
        <f t="shared" si="8"/>
        <v>-415.10810169491509</v>
      </c>
      <c r="H92">
        <f>POWER(Tabla1322[[#This Row],[Y atarsada un periodo Y t-22]],2)</f>
        <v>162948.57945884089</v>
      </c>
      <c r="I92">
        <f>Tabla1322[[#This Row],[Y atarsada un periodo Y t-22]]*Tabla1322[[#This Row],[(Yt-1 -Ȳ)2]]</f>
        <v>65777273.550528869</v>
      </c>
    </row>
    <row r="93" spans="1:9" x14ac:dyDescent="0.35">
      <c r="A93" s="60">
        <v>23</v>
      </c>
      <c r="B93" s="54" t="s">
        <v>25</v>
      </c>
      <c r="C93" s="34">
        <v>1259.8310000000001</v>
      </c>
      <c r="D93">
        <f t="shared" si="7"/>
        <v>1333.7329999999999</v>
      </c>
      <c r="E93" s="72">
        <f t="shared" si="6"/>
        <v>508.78389830508502</v>
      </c>
      <c r="F93" s="72">
        <f t="shared" si="8"/>
        <v>582.68589830508483</v>
      </c>
      <c r="H93">
        <f>POWER(Tabla1322[[#This Row],[Y atarsada un periodo Y t-22]],2)</f>
        <v>258861.0551745191</v>
      </c>
      <c r="I93">
        <f>Tabla1322[[#This Row],[Y atarsada un periodo Y t-22]]*Tabla1322[[#This Row],[(Yt-1 -Ȳ)2]]</f>
        <v>131704336.77105953</v>
      </c>
    </row>
    <row r="94" spans="1:9" x14ac:dyDescent="0.35">
      <c r="A94" s="61">
        <v>24</v>
      </c>
      <c r="B94" s="55" t="s">
        <v>26</v>
      </c>
      <c r="C94" s="50">
        <v>336.137</v>
      </c>
      <c r="D94">
        <f t="shared" si="7"/>
        <v>1154.7159999999999</v>
      </c>
      <c r="E94" s="72">
        <f t="shared" si="6"/>
        <v>-414.91010169491511</v>
      </c>
      <c r="F94" s="72">
        <f t="shared" si="8"/>
        <v>403.66889830508478</v>
      </c>
      <c r="H94">
        <f>POWER(Tabla1322[[#This Row],[Y atarsada un periodo Y t-22]],2)</f>
        <v>172150.39248848479</v>
      </c>
      <c r="I94">
        <f>Tabla1322[[#This Row],[Y atarsada un periodo Y t-22]]*Tabla1322[[#This Row],[(Yt-1 -Ȳ)2]]</f>
        <v>-71426936.854216784</v>
      </c>
    </row>
    <row r="95" spans="1:9" x14ac:dyDescent="0.35">
      <c r="A95" s="60">
        <v>25</v>
      </c>
      <c r="B95" s="54" t="s">
        <v>27</v>
      </c>
      <c r="C95" s="34">
        <v>385.94799999999998</v>
      </c>
      <c r="D95">
        <f t="shared" si="7"/>
        <v>1259.8310000000001</v>
      </c>
      <c r="E95" s="72">
        <f t="shared" si="6"/>
        <v>-365.09910169491513</v>
      </c>
      <c r="F95" s="72">
        <f t="shared" si="8"/>
        <v>508.78389830508502</v>
      </c>
      <c r="H95">
        <f>POWER(Tabla1322[[#This Row],[Y atarsada un periodo Y t-22]],2)</f>
        <v>133297.35405843399</v>
      </c>
      <c r="I95">
        <f>Tabla1322[[#This Row],[Y atarsada un periodo Y t-22]]*Tabla1322[[#This Row],[(Yt-1 -Ȳ)2]]</f>
        <v>-48666744.225043304</v>
      </c>
    </row>
    <row r="96" spans="1:9" x14ac:dyDescent="0.35">
      <c r="A96" s="61">
        <v>26</v>
      </c>
      <c r="B96" s="55" t="s">
        <v>28</v>
      </c>
      <c r="C96" s="50">
        <v>327.24599999999998</v>
      </c>
      <c r="D96">
        <f t="shared" si="7"/>
        <v>336.137</v>
      </c>
      <c r="E96" s="72">
        <f t="shared" si="6"/>
        <v>-423.80110169491513</v>
      </c>
      <c r="F96" s="72">
        <f t="shared" si="8"/>
        <v>-414.91010169491511</v>
      </c>
      <c r="H96">
        <f>POWER(Tabla1322[[#This Row],[Y atarsada un periodo Y t-22]],2)</f>
        <v>179607.37379782379</v>
      </c>
      <c r="I96">
        <f>Tabla1322[[#This Row],[Y atarsada un periodo Y t-22]]*Tabla1322[[#This Row],[(Yt-1 -Ȳ)2]]</f>
        <v>-76117802.888048157</v>
      </c>
    </row>
    <row r="97" spans="1:9" x14ac:dyDescent="0.35">
      <c r="A97" s="60">
        <v>27</v>
      </c>
      <c r="B97" s="54" t="s">
        <v>29</v>
      </c>
      <c r="C97" s="34">
        <v>351.22</v>
      </c>
      <c r="D97">
        <f t="shared" si="7"/>
        <v>385.94799999999998</v>
      </c>
      <c r="E97" s="72">
        <f t="shared" si="6"/>
        <v>-399.82710169491509</v>
      </c>
      <c r="F97" s="72">
        <f t="shared" si="8"/>
        <v>-365.09910169491513</v>
      </c>
      <c r="H97">
        <f>POWER(Tabla1322[[#This Row],[Y atarsada un periodo Y t-22]],2)</f>
        <v>159861.71124975596</v>
      </c>
      <c r="I97">
        <f>Tabla1322[[#This Row],[Y atarsada un periodo Y t-22]]*Tabla1322[[#This Row],[(Yt-1 -Ȳ)2]]</f>
        <v>-63917044.680979326</v>
      </c>
    </row>
    <row r="98" spans="1:9" x14ac:dyDescent="0.35">
      <c r="A98" s="61">
        <v>28</v>
      </c>
      <c r="B98" s="55" t="s">
        <v>30</v>
      </c>
      <c r="C98" s="50">
        <v>363.452</v>
      </c>
      <c r="D98">
        <f t="shared" si="7"/>
        <v>327.24599999999998</v>
      </c>
      <c r="E98" s="72">
        <f t="shared" si="6"/>
        <v>-387.59510169491512</v>
      </c>
      <c r="F98" s="72">
        <f t="shared" si="8"/>
        <v>-423.80110169491513</v>
      </c>
      <c r="H98">
        <f>POWER(Tabla1322[[#This Row],[Y atarsada un periodo Y t-22]],2)</f>
        <v>150229.9628578916</v>
      </c>
      <c r="I98">
        <f>Tabla1322[[#This Row],[Y atarsada un periodo Y t-22]]*Tabla1322[[#This Row],[(Yt-1 -Ȳ)2]]</f>
        <v>-58228397.731527813</v>
      </c>
    </row>
    <row r="99" spans="1:9" x14ac:dyDescent="0.35">
      <c r="A99" s="60">
        <v>29</v>
      </c>
      <c r="B99" s="54" t="s">
        <v>31</v>
      </c>
      <c r="C99" s="34">
        <v>398.24599999999998</v>
      </c>
      <c r="D99">
        <f t="shared" si="7"/>
        <v>351.22</v>
      </c>
      <c r="E99" s="72">
        <f t="shared" si="6"/>
        <v>-352.80110169491513</v>
      </c>
      <c r="F99" s="72">
        <f t="shared" si="8"/>
        <v>-399.82710169491509</v>
      </c>
      <c r="H99">
        <f>POWER(Tabla1322[[#This Row],[Y atarsada un periodo Y t-22]],2)</f>
        <v>124468.61735714585</v>
      </c>
      <c r="I99">
        <f>Tabla1322[[#This Row],[Y atarsada un periodo Y t-22]]*Tabla1322[[#This Row],[(Yt-1 -Ȳ)2]]</f>
        <v>-43912665.33004389</v>
      </c>
    </row>
    <row r="100" spans="1:9" x14ac:dyDescent="0.35">
      <c r="A100" s="61">
        <v>30</v>
      </c>
      <c r="B100" s="55" t="s">
        <v>32</v>
      </c>
      <c r="C100" s="50">
        <v>345.75400000000002</v>
      </c>
      <c r="D100">
        <f t="shared" si="7"/>
        <v>363.452</v>
      </c>
      <c r="E100" s="72">
        <f t="shared" si="6"/>
        <v>-405.29310169491509</v>
      </c>
      <c r="F100" s="72">
        <f t="shared" si="8"/>
        <v>-387.59510169491512</v>
      </c>
      <c r="H100">
        <f>POWER(Tabla1322[[#This Row],[Y atarsada un periodo Y t-22]],2)</f>
        <v>164262.49828148479</v>
      </c>
      <c r="I100">
        <f>Tabla1322[[#This Row],[Y atarsada un periodo Y t-22]]*Tabla1322[[#This Row],[(Yt-1 -Ȳ)2]]</f>
        <v>-66574457.420658633</v>
      </c>
    </row>
    <row r="101" spans="1:9" x14ac:dyDescent="0.35">
      <c r="A101" s="60">
        <v>31</v>
      </c>
      <c r="B101" s="54" t="s">
        <v>33</v>
      </c>
      <c r="C101" s="34">
        <v>1315.4259999999999</v>
      </c>
      <c r="D101">
        <f t="shared" si="7"/>
        <v>398.24599999999998</v>
      </c>
      <c r="E101" s="72">
        <f t="shared" si="6"/>
        <v>564.37889830508482</v>
      </c>
      <c r="F101" s="72">
        <f t="shared" si="8"/>
        <v>-352.80110169491513</v>
      </c>
      <c r="H101">
        <f>POWER(Tabla1322[[#This Row],[Y atarsada un periodo Y t-22]],2)</f>
        <v>318523.5408520613</v>
      </c>
      <c r="I101">
        <f>Tabla1322[[#This Row],[Y atarsada un periodo Y t-22]]*Tabla1322[[#This Row],[(Yt-1 -Ȳ)2]]</f>
        <v>179767965.07032102</v>
      </c>
    </row>
    <row r="102" spans="1:9" x14ac:dyDescent="0.35">
      <c r="A102" s="61">
        <v>32</v>
      </c>
      <c r="B102" s="55" t="s">
        <v>34</v>
      </c>
      <c r="C102" s="50">
        <v>388.87799999999999</v>
      </c>
      <c r="D102">
        <f t="shared" si="7"/>
        <v>345.75400000000002</v>
      </c>
      <c r="E102" s="72">
        <f t="shared" si="6"/>
        <v>-362.16910169491513</v>
      </c>
      <c r="F102" s="72">
        <f t="shared" si="8"/>
        <v>-405.29310169491509</v>
      </c>
      <c r="H102">
        <f>POWER(Tabla1322[[#This Row],[Y atarsada un periodo Y t-22]],2)</f>
        <v>131166.45822250177</v>
      </c>
      <c r="I102">
        <f>Tabla1322[[#This Row],[Y atarsada un periodo Y t-22]]*Tabla1322[[#This Row],[(Yt-1 -Ȳ)2]]</f>
        <v>-47504438.346947081</v>
      </c>
    </row>
    <row r="103" spans="1:9" x14ac:dyDescent="0.35">
      <c r="A103" s="60">
        <v>33</v>
      </c>
      <c r="B103" s="54" t="s">
        <v>35</v>
      </c>
      <c r="C103" s="34">
        <v>436.56599999999997</v>
      </c>
      <c r="D103">
        <f t="shared" si="7"/>
        <v>1315.4259999999999</v>
      </c>
      <c r="E103" s="72">
        <f t="shared" si="6"/>
        <v>-314.48110169491514</v>
      </c>
      <c r="F103" s="72">
        <f t="shared" si="8"/>
        <v>564.37889830508482</v>
      </c>
      <c r="H103">
        <f>POWER(Tabla1322[[#This Row],[Y atarsada un periodo Y t-22]],2)</f>
        <v>98898.363323247555</v>
      </c>
      <c r="I103">
        <f>Tabla1322[[#This Row],[Y atarsada un periodo Y t-22]]*Tabla1322[[#This Row],[(Yt-1 -Ȳ)2]]</f>
        <v>-31101666.253718879</v>
      </c>
    </row>
    <row r="104" spans="1:9" x14ac:dyDescent="0.35">
      <c r="A104" s="61">
        <v>34</v>
      </c>
      <c r="B104" s="55" t="s">
        <v>36</v>
      </c>
      <c r="C104" s="50">
        <v>377.14699999999999</v>
      </c>
      <c r="D104">
        <f t="shared" si="7"/>
        <v>388.87799999999999</v>
      </c>
      <c r="E104" s="72">
        <f t="shared" si="6"/>
        <v>-373.90010169491512</v>
      </c>
      <c r="F104" s="72">
        <f t="shared" si="8"/>
        <v>-362.16910169491513</v>
      </c>
      <c r="H104">
        <f>POWER(Tabla1322[[#This Row],[Y atarsada un periodo Y t-22]],2)</f>
        <v>139801.28604746787</v>
      </c>
      <c r="I104">
        <f>Tabla1322[[#This Row],[Y atarsada un periodo Y t-22]]*Tabla1322[[#This Row],[(Yt-1 -Ȳ)2]]</f>
        <v>-52271715.070228159</v>
      </c>
    </row>
    <row r="105" spans="1:9" x14ac:dyDescent="0.35">
      <c r="A105" s="60">
        <v>35</v>
      </c>
      <c r="B105" s="54" t="s">
        <v>37</v>
      </c>
      <c r="C105" s="34">
        <v>392.77600000000001</v>
      </c>
      <c r="D105">
        <f t="shared" si="7"/>
        <v>436.56599999999997</v>
      </c>
      <c r="E105" s="72">
        <f t="shared" si="6"/>
        <v>-358.2711016949151</v>
      </c>
      <c r="F105" s="72">
        <f t="shared" si="8"/>
        <v>-314.48110169491514</v>
      </c>
      <c r="H105">
        <f>POWER(Tabla1322[[#This Row],[Y atarsada un periodo Y t-22]],2)</f>
        <v>128358.1823096882</v>
      </c>
      <c r="I105">
        <f>Tabla1322[[#This Row],[Y atarsada un periodo Y t-22]]*Tabla1322[[#This Row],[(Yt-1 -Ȳ)2]]</f>
        <v>-45987027.387648754</v>
      </c>
    </row>
    <row r="106" spans="1:9" x14ac:dyDescent="0.35">
      <c r="A106" s="61">
        <v>36</v>
      </c>
      <c r="B106" s="55" t="s">
        <v>38</v>
      </c>
      <c r="C106" s="50">
        <v>415.23599999999999</v>
      </c>
      <c r="D106">
        <f t="shared" si="7"/>
        <v>377.14699999999999</v>
      </c>
      <c r="E106" s="72">
        <f t="shared" si="6"/>
        <v>-335.81110169491512</v>
      </c>
      <c r="F106" s="72">
        <f t="shared" si="8"/>
        <v>-373.90010169491512</v>
      </c>
      <c r="H106">
        <f>POWER(Tabla1322[[#This Row],[Y atarsada un periodo Y t-22]],2)</f>
        <v>112769.09602155263</v>
      </c>
      <c r="I106">
        <f>Tabla1322[[#This Row],[Y atarsada un periodo Y t-22]]*Tabla1322[[#This Row],[(Yt-1 -Ȳ)2]]</f>
        <v>-37869114.372137256</v>
      </c>
    </row>
    <row r="107" spans="1:9" x14ac:dyDescent="0.35">
      <c r="A107" s="60">
        <v>37</v>
      </c>
      <c r="B107" s="54" t="s">
        <v>39</v>
      </c>
      <c r="C107" s="34">
        <v>473.8</v>
      </c>
      <c r="D107">
        <f t="shared" si="7"/>
        <v>392.77600000000001</v>
      </c>
      <c r="E107" s="72">
        <f t="shared" si="6"/>
        <v>-277.2471016949151</v>
      </c>
      <c r="F107" s="72">
        <f t="shared" si="8"/>
        <v>-358.2711016949151</v>
      </c>
      <c r="H107">
        <f>POWER(Tabla1322[[#This Row],[Y atarsada un periodo Y t-22]],2)</f>
        <v>76865.955398230595</v>
      </c>
      <c r="I107">
        <f>Tabla1322[[#This Row],[Y atarsada un periodo Y t-22]]*Tabla1322[[#This Row],[(Yt-1 -Ȳ)2]]</f>
        <v>-21310863.353170045</v>
      </c>
    </row>
    <row r="108" spans="1:9" x14ac:dyDescent="0.35">
      <c r="A108" s="61">
        <v>38</v>
      </c>
      <c r="B108" s="55" t="s">
        <v>40</v>
      </c>
      <c r="C108" s="50">
        <v>422.54700000000003</v>
      </c>
      <c r="D108">
        <f t="shared" si="7"/>
        <v>415.23599999999999</v>
      </c>
      <c r="E108" s="72">
        <f t="shared" si="6"/>
        <v>-328.50010169491509</v>
      </c>
      <c r="F108" s="72">
        <f t="shared" si="8"/>
        <v>-335.81110169491512</v>
      </c>
      <c r="H108">
        <f>POWER(Tabla1322[[#This Row],[Y atarsada un periodo Y t-22]],2)</f>
        <v>107912.31681356956</v>
      </c>
      <c r="I108">
        <f>Tabla1322[[#This Row],[Y atarsada un periodo Y t-22]]*Tabla1322[[#This Row],[(Yt-1 -Ȳ)2]]</f>
        <v>-35449207.047391497</v>
      </c>
    </row>
    <row r="109" spans="1:9" x14ac:dyDescent="0.35">
      <c r="A109" s="60">
        <v>39</v>
      </c>
      <c r="B109" s="54" t="s">
        <v>41</v>
      </c>
      <c r="C109" s="34">
        <v>472.53399999999999</v>
      </c>
      <c r="D109">
        <f t="shared" si="7"/>
        <v>473.8</v>
      </c>
      <c r="E109" s="72">
        <f t="shared" si="6"/>
        <v>-278.51310169491512</v>
      </c>
      <c r="F109" s="72">
        <f t="shared" si="8"/>
        <v>-277.2471016949151</v>
      </c>
      <c r="H109">
        <f>POWER(Tabla1322[[#This Row],[Y atarsada un periodo Y t-22]],2)</f>
        <v>77569.547815722137</v>
      </c>
      <c r="I109">
        <f>Tabla1322[[#This Row],[Y atarsada un periodo Y t-22]]*Tabla1322[[#This Row],[(Yt-1 -Ȳ)2]]</f>
        <v>-21604135.359228801</v>
      </c>
    </row>
    <row r="110" spans="1:9" x14ac:dyDescent="0.35">
      <c r="A110" s="61">
        <v>40</v>
      </c>
      <c r="B110" s="55" t="s">
        <v>42</v>
      </c>
      <c r="C110" s="50">
        <v>482.935</v>
      </c>
      <c r="D110">
        <f t="shared" si="7"/>
        <v>422.54700000000003</v>
      </c>
      <c r="E110" s="72">
        <f t="shared" si="6"/>
        <v>-268.11210169491511</v>
      </c>
      <c r="F110" s="72">
        <f t="shared" si="8"/>
        <v>-328.50010169491509</v>
      </c>
      <c r="H110">
        <f>POWER(Tabla1322[[#This Row],[Y atarsada un periodo Y t-22]],2)</f>
        <v>71884.099075264501</v>
      </c>
      <c r="I110">
        <f>Tabla1322[[#This Row],[Y atarsada un periodo Y t-22]]*Tabla1322[[#This Row],[(Yt-1 -Ȳ)2]]</f>
        <v>-19272996.881514668</v>
      </c>
    </row>
    <row r="111" spans="1:9" x14ac:dyDescent="0.35">
      <c r="A111" s="60">
        <v>41</v>
      </c>
      <c r="B111" s="54" t="s">
        <v>43</v>
      </c>
      <c r="C111" s="34">
        <v>510.27800000000002</v>
      </c>
      <c r="D111">
        <f t="shared" si="7"/>
        <v>472.53399999999999</v>
      </c>
      <c r="E111" s="72">
        <f t="shared" si="6"/>
        <v>-240.76910169491509</v>
      </c>
      <c r="F111" s="72">
        <f t="shared" si="8"/>
        <v>-278.51310169491512</v>
      </c>
      <c r="H111">
        <f>POWER(Tabla1322[[#This Row],[Y atarsada un periodo Y t-22]],2)</f>
        <v>57969.760330976365</v>
      </c>
      <c r="I111">
        <f>Tabla1322[[#This Row],[Y atarsada un periodo Y t-22]]*Tabla1322[[#This Row],[(Yt-1 -Ȳ)2]]</f>
        <v>-13957327.120358704</v>
      </c>
    </row>
    <row r="112" spans="1:9" x14ac:dyDescent="0.35">
      <c r="A112" s="61">
        <v>42</v>
      </c>
      <c r="B112" s="55" t="s">
        <v>44</v>
      </c>
      <c r="C112" s="50">
        <v>451.50299999999999</v>
      </c>
      <c r="D112">
        <f t="shared" si="7"/>
        <v>482.935</v>
      </c>
      <c r="E112" s="72">
        <f t="shared" si="6"/>
        <v>-299.54410169491513</v>
      </c>
      <c r="F112" s="72">
        <f t="shared" si="8"/>
        <v>-268.11210169491511</v>
      </c>
      <c r="H112">
        <f>POWER(Tabla1322[[#This Row],[Y atarsada un periodo Y t-22]],2)</f>
        <v>89726.668860213656</v>
      </c>
      <c r="I112">
        <f>Tabla1322[[#This Row],[Y atarsada un periodo Y t-22]]*Tabla1322[[#This Row],[(Yt-1 -Ȳ)2]]</f>
        <v>-26877094.421809815</v>
      </c>
    </row>
    <row r="113" spans="1:9" x14ac:dyDescent="0.35">
      <c r="A113" s="60">
        <v>43</v>
      </c>
      <c r="B113" s="54" t="s">
        <v>45</v>
      </c>
      <c r="C113" s="34">
        <v>501.505</v>
      </c>
      <c r="D113">
        <f t="shared" si="7"/>
        <v>510.27800000000002</v>
      </c>
      <c r="E113" s="72">
        <f t="shared" si="6"/>
        <v>-249.54210169491512</v>
      </c>
      <c r="F113" s="72">
        <f t="shared" si="8"/>
        <v>-240.76910169491509</v>
      </c>
      <c r="H113">
        <f>POWER(Tabla1322[[#This Row],[Y atarsada un periodo Y t-22]],2)</f>
        <v>62271.260518315357</v>
      </c>
      <c r="I113">
        <f>Tabla1322[[#This Row],[Y atarsada un periodo Y t-22]]*Tabla1322[[#This Row],[(Yt-1 -Ȳ)2]]</f>
        <v>-15539301.224932004</v>
      </c>
    </row>
    <row r="114" spans="1:9" x14ac:dyDescent="0.35">
      <c r="A114" s="61">
        <v>44</v>
      </c>
      <c r="B114" s="55" t="s">
        <v>46</v>
      </c>
      <c r="C114" s="50">
        <v>630.40599999999995</v>
      </c>
      <c r="D114">
        <f t="shared" si="7"/>
        <v>451.50299999999999</v>
      </c>
      <c r="E114" s="72">
        <f t="shared" si="6"/>
        <v>-120.64110169491516</v>
      </c>
      <c r="F114" s="72">
        <f t="shared" si="8"/>
        <v>-299.54410169491513</v>
      </c>
      <c r="H114">
        <f>POWER(Tabla1322[[#This Row],[Y atarsada un periodo Y t-22]],2)</f>
        <v>14554.275418162862</v>
      </c>
      <c r="I114">
        <f>Tabla1322[[#This Row],[Y atarsada un periodo Y t-22]]*Tabla1322[[#This Row],[(Yt-1 -Ȳ)2]]</f>
        <v>-1755843.8208183898</v>
      </c>
    </row>
    <row r="115" spans="1:9" x14ac:dyDescent="0.35">
      <c r="A115" s="60">
        <v>45</v>
      </c>
      <c r="B115" s="54" t="s">
        <v>47</v>
      </c>
      <c r="C115" s="34">
        <v>701.13900000000001</v>
      </c>
      <c r="D115">
        <f t="shared" si="7"/>
        <v>501.505</v>
      </c>
      <c r="E115" s="72">
        <f t="shared" si="6"/>
        <v>-49.908101694915104</v>
      </c>
      <c r="F115" s="72">
        <f t="shared" si="8"/>
        <v>-249.54210169491512</v>
      </c>
      <c r="H115">
        <f>POWER(Tabla1322[[#This Row],[Y atarsada un periodo Y t-22]],2)</f>
        <v>2490.8186147899878</v>
      </c>
      <c r="I115">
        <f>Tabla1322[[#This Row],[Y atarsada un periodo Y t-22]]*Tabla1322[[#This Row],[(Yt-1 -Ȳ)2]]</f>
        <v>-124312.02873052628</v>
      </c>
    </row>
    <row r="116" spans="1:9" x14ac:dyDescent="0.35">
      <c r="A116" s="61">
        <v>46</v>
      </c>
      <c r="B116" s="55" t="s">
        <v>48</v>
      </c>
      <c r="C116" s="50">
        <v>649.98699999999997</v>
      </c>
      <c r="D116">
        <f t="shared" si="7"/>
        <v>630.40599999999995</v>
      </c>
      <c r="E116" s="72">
        <f t="shared" si="6"/>
        <v>-101.06010169491515</v>
      </c>
      <c r="F116" s="72">
        <f t="shared" si="8"/>
        <v>-120.64110169491516</v>
      </c>
      <c r="H116">
        <f>POWER(Tabla1322[[#This Row],[Y atarsada un periodo Y t-22]],2)</f>
        <v>10213.144154586591</v>
      </c>
      <c r="I116">
        <f>Tabla1322[[#This Row],[Y atarsada un periodo Y t-22]]*Tabla1322[[#This Row],[(Yt-1 -Ȳ)2]]</f>
        <v>-1032141.3868873491</v>
      </c>
    </row>
    <row r="117" spans="1:9" x14ac:dyDescent="0.35">
      <c r="A117" s="60">
        <v>47</v>
      </c>
      <c r="B117" s="54" t="s">
        <v>49</v>
      </c>
      <c r="C117" s="34">
        <v>657.76400000000001</v>
      </c>
      <c r="D117">
        <f t="shared" si="7"/>
        <v>701.13900000000001</v>
      </c>
      <c r="E117" s="72">
        <f t="shared" si="6"/>
        <v>-93.283101694915104</v>
      </c>
      <c r="F117" s="72">
        <f t="shared" si="8"/>
        <v>-49.908101694915104</v>
      </c>
      <c r="H117">
        <f>POWER(Tabla1322[[#This Row],[Y atarsada un periodo Y t-22]],2)</f>
        <v>8701.7370618238729</v>
      </c>
      <c r="I117">
        <f>Tabla1322[[#This Row],[Y atarsada un periodo Y t-22]]*Tabla1322[[#This Row],[(Yt-1 -Ȳ)2]]</f>
        <v>-811725.02326052811</v>
      </c>
    </row>
    <row r="118" spans="1:9" x14ac:dyDescent="0.35">
      <c r="A118" s="61">
        <v>48</v>
      </c>
      <c r="B118" s="55" t="s">
        <v>50</v>
      </c>
      <c r="C118" s="50">
        <v>659.03200000000004</v>
      </c>
      <c r="D118">
        <f t="shared" si="7"/>
        <v>649.98699999999997</v>
      </c>
      <c r="E118" s="72">
        <f t="shared" si="6"/>
        <v>-92.015101694915074</v>
      </c>
      <c r="F118" s="72">
        <f t="shared" si="8"/>
        <v>-101.06010169491515</v>
      </c>
      <c r="H118">
        <f>POWER(Tabla1322[[#This Row],[Y atarsada un periodo Y t-22]],2)</f>
        <v>8466.7789399255635</v>
      </c>
      <c r="I118">
        <f>Tabla1322[[#This Row],[Y atarsada un periodo Y t-22]]*Tabla1322[[#This Row],[(Yt-1 -Ȳ)2]]</f>
        <v>-779071.52518561599</v>
      </c>
    </row>
    <row r="119" spans="1:9" x14ac:dyDescent="0.35">
      <c r="A119" s="60">
        <v>49</v>
      </c>
      <c r="B119" s="54" t="s">
        <v>51</v>
      </c>
      <c r="C119" s="34">
        <v>693.13</v>
      </c>
      <c r="D119">
        <f t="shared" si="7"/>
        <v>657.76400000000001</v>
      </c>
      <c r="E119" s="72">
        <f t="shared" si="6"/>
        <v>-57.917101694915118</v>
      </c>
      <c r="F119" s="72">
        <f t="shared" si="8"/>
        <v>-93.283101694915104</v>
      </c>
      <c r="H119">
        <f>POWER(Tabla1322[[#This Row],[Y atarsada un periodo Y t-22]],2)</f>
        <v>3354.3906687391395</v>
      </c>
      <c r="I119">
        <f>Tabla1322[[#This Row],[Y atarsada un periodo Y t-22]]*Tabla1322[[#This Row],[(Yt-1 -Ȳ)2]]</f>
        <v>-194276.58548583908</v>
      </c>
    </row>
    <row r="120" spans="1:9" x14ac:dyDescent="0.35">
      <c r="A120" s="61">
        <v>50</v>
      </c>
      <c r="B120" s="55" t="s">
        <v>52</v>
      </c>
      <c r="C120" s="50">
        <v>620.83500000000004</v>
      </c>
      <c r="D120">
        <f t="shared" si="7"/>
        <v>659.03200000000004</v>
      </c>
      <c r="E120" s="72">
        <f t="shared" si="6"/>
        <v>-130.21210169491508</v>
      </c>
      <c r="F120" s="72">
        <f t="shared" si="8"/>
        <v>-92.015101694915074</v>
      </c>
      <c r="H120">
        <f>POWER(Tabla1322[[#This Row],[Y atarsada un periodo Y t-22]],2)</f>
        <v>16955.191427806905</v>
      </c>
      <c r="I120">
        <f>Tabla1322[[#This Row],[Y atarsada un periodo Y t-22]]*Tabla1322[[#This Row],[(Yt-1 -Ȳ)2]]</f>
        <v>-2207771.1104543451</v>
      </c>
    </row>
    <row r="121" spans="1:9" x14ac:dyDescent="0.35">
      <c r="A121" s="60">
        <v>51</v>
      </c>
      <c r="B121" s="54" t="s">
        <v>53</v>
      </c>
      <c r="C121" s="34">
        <v>646.48599999999999</v>
      </c>
      <c r="D121">
        <f t="shared" si="7"/>
        <v>693.13</v>
      </c>
      <c r="E121" s="72">
        <f t="shared" si="6"/>
        <v>-104.56110169491512</v>
      </c>
      <c r="F121" s="72">
        <f t="shared" si="8"/>
        <v>-57.917101694915118</v>
      </c>
      <c r="H121">
        <f>POWER(Tabla1322[[#This Row],[Y atarsada un periodo Y t-22]],2)</f>
        <v>10933.023987654382</v>
      </c>
      <c r="I121">
        <f>Tabla1322[[#This Row],[Y atarsada un periodo Y t-22]]*Tabla1322[[#This Row],[(Yt-1 -Ȳ)2]]</f>
        <v>-1143169.0330060762</v>
      </c>
    </row>
    <row r="122" spans="1:9" x14ac:dyDescent="0.35">
      <c r="A122" s="61">
        <v>52</v>
      </c>
      <c r="B122" s="55" t="s">
        <v>54</v>
      </c>
      <c r="C122" s="50">
        <v>674.28899999999999</v>
      </c>
      <c r="D122">
        <f t="shared" si="7"/>
        <v>620.83500000000004</v>
      </c>
      <c r="E122" s="72">
        <f t="shared" si="6"/>
        <v>-76.758101694915126</v>
      </c>
      <c r="F122" s="72">
        <f t="shared" si="8"/>
        <v>-130.21210169491508</v>
      </c>
      <c r="H122">
        <f>POWER(Tabla1322[[#This Row],[Y atarsada un periodo Y t-22]],2)</f>
        <v>5891.8061758069325</v>
      </c>
      <c r="I122">
        <f>Tabla1322[[#This Row],[Y atarsada un periodo Y t-22]]*Tabla1322[[#This Row],[(Yt-1 -Ȳ)2]]</f>
        <v>-452243.85760931752</v>
      </c>
    </row>
    <row r="123" spans="1:9" x14ac:dyDescent="0.35">
      <c r="A123" s="60">
        <v>53</v>
      </c>
      <c r="B123" s="54" t="s">
        <v>55</v>
      </c>
      <c r="C123" s="34">
        <v>728.25599999999997</v>
      </c>
      <c r="D123">
        <f t="shared" si="7"/>
        <v>646.48599999999999</v>
      </c>
      <c r="E123" s="72">
        <f t="shared" si="6"/>
        <v>-22.791101694915142</v>
      </c>
      <c r="F123" s="72">
        <f t="shared" si="8"/>
        <v>-104.56110169491512</v>
      </c>
      <c r="H123">
        <f>POWER(Tabla1322[[#This Row],[Y atarsada un periodo Y t-22]],2)</f>
        <v>519.43431646796387</v>
      </c>
      <c r="I123">
        <f>Tabla1322[[#This Row],[Y atarsada un periodo Y t-22]]*Tabla1322[[#This Row],[(Yt-1 -Ȳ)2]]</f>
        <v>-11838.4803304501</v>
      </c>
    </row>
    <row r="124" spans="1:9" x14ac:dyDescent="0.35">
      <c r="A124" s="61">
        <v>54</v>
      </c>
      <c r="B124" s="55" t="s">
        <v>56</v>
      </c>
      <c r="C124" s="50">
        <v>652.16899999999998</v>
      </c>
      <c r="D124">
        <f t="shared" si="7"/>
        <v>674.28899999999999</v>
      </c>
      <c r="E124" s="72">
        <f t="shared" si="6"/>
        <v>-98.878101694915131</v>
      </c>
      <c r="F124" s="72">
        <f t="shared" si="8"/>
        <v>-76.758101694915126</v>
      </c>
      <c r="H124">
        <f>POWER(Tabla1322[[#This Row],[Y atarsada un periodo Y t-22]],2)</f>
        <v>9776.8789947899786</v>
      </c>
      <c r="I124">
        <f>Tabla1322[[#This Row],[Y atarsada un periodo Y t-22]]*Tabla1322[[#This Row],[(Yt-1 -Ȳ)2]]</f>
        <v>-966719.23550572316</v>
      </c>
    </row>
    <row r="125" spans="1:9" x14ac:dyDescent="0.35">
      <c r="A125" s="60">
        <v>55</v>
      </c>
      <c r="B125" s="54" t="s">
        <v>57</v>
      </c>
      <c r="C125" s="34">
        <v>691.10199999999998</v>
      </c>
      <c r="D125">
        <f t="shared" si="7"/>
        <v>728.25599999999997</v>
      </c>
      <c r="E125" s="72">
        <f t="shared" si="6"/>
        <v>-59.945101694915138</v>
      </c>
      <c r="F125" s="72">
        <f t="shared" si="8"/>
        <v>-22.791101694915142</v>
      </c>
      <c r="H125">
        <f>POWER(Tabla1322[[#This Row],[Y atarsada un periodo Y t-22]],2)</f>
        <v>3593.4152172137178</v>
      </c>
      <c r="I125">
        <f>Tabla1322[[#This Row],[Y atarsada un periodo Y t-22]]*Tabla1322[[#This Row],[(Yt-1 -Ȳ)2]]</f>
        <v>-215407.64062793189</v>
      </c>
    </row>
    <row r="126" spans="1:9" x14ac:dyDescent="0.35">
      <c r="A126" s="61">
        <v>56</v>
      </c>
      <c r="B126" s="55" t="s">
        <v>58</v>
      </c>
      <c r="C126" s="50">
        <v>708.39300000000003</v>
      </c>
      <c r="D126">
        <f t="shared" si="7"/>
        <v>652.16899999999998</v>
      </c>
      <c r="E126" s="72">
        <f t="shared" si="6"/>
        <v>-42.654101694915084</v>
      </c>
      <c r="F126" s="72">
        <f t="shared" si="8"/>
        <v>-98.878101694915131</v>
      </c>
      <c r="H126">
        <f>POWER(Tabla1322[[#This Row],[Y atarsada un periodo Y t-22]],2)</f>
        <v>1819.3723914001578</v>
      </c>
      <c r="I126">
        <f>Tabla1322[[#This Row],[Y atarsada un periodo Y t-22]]*Tabla1322[[#This Row],[(Yt-1 -Ȳ)2]]</f>
        <v>-77603.695003703178</v>
      </c>
    </row>
    <row r="127" spans="1:9" x14ac:dyDescent="0.35">
      <c r="A127" s="60">
        <v>57</v>
      </c>
      <c r="B127" s="54" t="s">
        <v>59</v>
      </c>
      <c r="C127" s="34">
        <v>780.24</v>
      </c>
      <c r="D127">
        <f t="shared" si="7"/>
        <v>691.10199999999998</v>
      </c>
      <c r="E127" s="72">
        <f t="shared" si="6"/>
        <v>29.192898305084896</v>
      </c>
      <c r="F127" s="72">
        <f t="shared" si="8"/>
        <v>-59.945101694915138</v>
      </c>
      <c r="H127">
        <f>POWER(Tabla1322[[#This Row],[Y atarsada un periodo Y t-22]],2)</f>
        <v>852.22531145102857</v>
      </c>
      <c r="I127">
        <f>Tabla1322[[#This Row],[Y atarsada un periodo Y t-22]]*Tabla1322[[#This Row],[(Yt-1 -Ȳ)2]]</f>
        <v>24878.92685020918</v>
      </c>
    </row>
    <row r="128" spans="1:9" x14ac:dyDescent="0.35">
      <c r="A128" s="61">
        <v>58</v>
      </c>
      <c r="B128" s="55" t="s">
        <v>60</v>
      </c>
      <c r="C128" s="50">
        <v>710.03</v>
      </c>
      <c r="D128">
        <f t="shared" si="7"/>
        <v>708.39300000000003</v>
      </c>
      <c r="E128" s="72">
        <f t="shared" si="6"/>
        <v>-41.017101694915141</v>
      </c>
      <c r="F128" s="72">
        <f t="shared" si="8"/>
        <v>-42.654101694915084</v>
      </c>
      <c r="H128">
        <f>POWER(Tabla1322[[#This Row],[Y atarsada un periodo Y t-22]],2)</f>
        <v>1682.4026314510106</v>
      </c>
      <c r="I128">
        <f>Tabla1322[[#This Row],[Y atarsada un periodo Y t-22]]*Tabla1322[[#This Row],[(Yt-1 -Ȳ)2]]</f>
        <v>-69007.279826018945</v>
      </c>
    </row>
    <row r="129" spans="1:9" ht="15" thickBot="1" x14ac:dyDescent="0.4">
      <c r="A129" s="60">
        <v>59</v>
      </c>
      <c r="B129" s="54" t="s">
        <v>61</v>
      </c>
      <c r="C129" s="34">
        <v>749.40700000000004</v>
      </c>
      <c r="D129">
        <f t="shared" si="7"/>
        <v>780.24</v>
      </c>
      <c r="E129" s="72">
        <f t="shared" si="6"/>
        <v>-1.6401016949150744</v>
      </c>
      <c r="F129" s="72">
        <f t="shared" si="8"/>
        <v>29.192898305084896</v>
      </c>
      <c r="H129">
        <f>POWER(Tabla1322[[#This Row],[Y atarsada un periodo Y t-22]],2)</f>
        <v>2.6899335696633</v>
      </c>
      <c r="I129">
        <f>Tabla1322[[#This Row],[Y atarsada un periodo Y t-22]]*Tabla1322[[#This Row],[(Yt-1 -Ȳ)2]]</f>
        <v>-4.4117646068137351</v>
      </c>
    </row>
    <row r="130" spans="1:9" ht="15" thickTop="1" x14ac:dyDescent="0.35">
      <c r="A130" s="80"/>
      <c r="B130" s="81"/>
      <c r="C130" s="82">
        <f>SUBTOTAL(109,Tabla921[Datos originales Yt])</f>
        <v>44311.778999999995</v>
      </c>
      <c r="H130">
        <f>SUBTOTAL(109,Tabla1322[(Yt-1 -Ȳ)2])</f>
        <v>6333877.4044313915</v>
      </c>
      <c r="I130">
        <f>SUBTOTAL(109,Tabla1322[(Yt -Ȳ)(Yt -1 -Ȳ)])</f>
        <v>759114244.71434462</v>
      </c>
    </row>
    <row r="133" spans="1:9" x14ac:dyDescent="0.35">
      <c r="C133" s="66" t="s">
        <v>1243</v>
      </c>
      <c r="D133" s="64">
        <f>H130/I130</f>
        <v>8.3437736131731204E-3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85C7-08E6-4F5E-9249-AD834EA442CB}">
  <dimension ref="A1:I134"/>
  <sheetViews>
    <sheetView zoomScale="85" zoomScaleNormal="85" workbookViewId="0">
      <selection activeCell="O43" sqref="O43"/>
    </sheetView>
  </sheetViews>
  <sheetFormatPr baseColWidth="10" defaultRowHeight="14.5" x14ac:dyDescent="0.35"/>
  <cols>
    <col min="3" max="3" width="11.6328125" customWidth="1"/>
    <col min="4" max="4" width="11.36328125" customWidth="1"/>
    <col min="5" max="5" width="17.1796875" customWidth="1"/>
    <col min="9" max="9" width="15.54296875" customWidth="1"/>
  </cols>
  <sheetData>
    <row r="1" spans="1:9" ht="43.5" x14ac:dyDescent="0.35">
      <c r="A1" s="68" t="s">
        <v>1231</v>
      </c>
      <c r="B1" s="69" t="s">
        <v>1205</v>
      </c>
      <c r="C1" s="70" t="s">
        <v>1232</v>
      </c>
      <c r="D1" s="70" t="s">
        <v>1233</v>
      </c>
      <c r="E1" s="70" t="s">
        <v>1234</v>
      </c>
      <c r="F1" s="71" t="s">
        <v>1237</v>
      </c>
      <c r="G1" s="71" t="s">
        <v>1238</v>
      </c>
      <c r="H1" s="71" t="s">
        <v>1240</v>
      </c>
      <c r="I1" s="71" t="s">
        <v>1241</v>
      </c>
    </row>
    <row r="2" spans="1:9" x14ac:dyDescent="0.35">
      <c r="A2" s="60">
        <v>1</v>
      </c>
      <c r="B2" s="54" t="s">
        <v>3</v>
      </c>
      <c r="C2">
        <v>3223.5839999999998</v>
      </c>
      <c r="F2" s="72">
        <f>C2-$D$66</f>
        <v>-1030.169288135593</v>
      </c>
      <c r="G2" s="73" t="s">
        <v>1239</v>
      </c>
      <c r="H2">
        <f>POWER(F2,2)</f>
        <v>1061248.7622177943</v>
      </c>
      <c r="I2" s="74" t="s">
        <v>1239</v>
      </c>
    </row>
    <row r="3" spans="1:9" x14ac:dyDescent="0.35">
      <c r="A3" s="61">
        <v>2</v>
      </c>
      <c r="B3" s="55" t="s">
        <v>4</v>
      </c>
      <c r="C3">
        <v>3472.9369999999999</v>
      </c>
      <c r="D3">
        <f>C2</f>
        <v>3223.5839999999998</v>
      </c>
      <c r="F3" s="72">
        <f t="shared" ref="F3:F33" si="0">C3-$D$66</f>
        <v>-780.81628813559291</v>
      </c>
      <c r="G3" s="72">
        <f>F2</f>
        <v>-1030.169288135593</v>
      </c>
      <c r="H3">
        <f>POWER(F3,2)</f>
        <v>609674.0758178453</v>
      </c>
      <c r="I3">
        <f>F3*G3</f>
        <v>804372.95971331978</v>
      </c>
    </row>
    <row r="4" spans="1:9" x14ac:dyDescent="0.35">
      <c r="A4" s="60">
        <v>3</v>
      </c>
      <c r="B4" s="54" t="s">
        <v>5</v>
      </c>
      <c r="C4">
        <v>3369.4650000000001</v>
      </c>
      <c r="D4">
        <f t="shared" ref="D4:D33" si="1">C3</f>
        <v>3472.9369999999999</v>
      </c>
      <c r="E4">
        <f>C2</f>
        <v>3223.5839999999998</v>
      </c>
      <c r="F4" s="72">
        <f t="shared" si="0"/>
        <v>-884.28828813559267</v>
      </c>
      <c r="G4" s="72">
        <f>F3</f>
        <v>-780.81628813559291</v>
      </c>
      <c r="H4">
        <f t="shared" ref="H4:H33" si="2">POWER(F4,2)</f>
        <v>781965.77653377701</v>
      </c>
      <c r="I4">
        <f t="shared" ref="I4:I33" si="3">F4*G4</f>
        <v>690466.69878381118</v>
      </c>
    </row>
    <row r="5" spans="1:9" x14ac:dyDescent="0.35">
      <c r="A5" s="61">
        <v>4</v>
      </c>
      <c r="B5" s="55" t="s">
        <v>6</v>
      </c>
      <c r="C5">
        <v>3601.0940000000001</v>
      </c>
      <c r="D5">
        <f t="shared" si="1"/>
        <v>3369.4650000000001</v>
      </c>
      <c r="E5">
        <f>C3</f>
        <v>3472.9369999999999</v>
      </c>
      <c r="F5" s="72">
        <f t="shared" si="0"/>
        <v>-652.65928813559276</v>
      </c>
      <c r="G5" s="72">
        <f t="shared" ref="G5:G33" si="4">F4</f>
        <v>-884.28828813559267</v>
      </c>
      <c r="H5">
        <f t="shared" si="2"/>
        <v>425964.14638965868</v>
      </c>
      <c r="I5">
        <f t="shared" si="3"/>
        <v>577138.96464121784</v>
      </c>
    </row>
    <row r="6" spans="1:9" x14ac:dyDescent="0.35">
      <c r="A6" s="60">
        <v>5</v>
      </c>
      <c r="B6" s="54" t="s">
        <v>7</v>
      </c>
      <c r="C6">
        <v>3627.9300000000003</v>
      </c>
      <c r="D6">
        <f t="shared" si="1"/>
        <v>3601.0940000000001</v>
      </c>
      <c r="E6">
        <f t="shared" ref="E6:E60" si="5">C4</f>
        <v>3369.4650000000001</v>
      </c>
      <c r="F6" s="72">
        <f t="shared" si="0"/>
        <v>-625.82328813559252</v>
      </c>
      <c r="G6" s="72">
        <f t="shared" si="4"/>
        <v>-652.65928813559276</v>
      </c>
      <c r="H6">
        <f t="shared" si="2"/>
        <v>391654.78797284485</v>
      </c>
      <c r="I6">
        <f t="shared" si="3"/>
        <v>408449.38173325179</v>
      </c>
    </row>
    <row r="7" spans="1:9" x14ac:dyDescent="0.35">
      <c r="A7" s="61">
        <v>6</v>
      </c>
      <c r="B7" s="55" t="s">
        <v>8</v>
      </c>
      <c r="C7">
        <v>3789.5219999999999</v>
      </c>
      <c r="D7">
        <f t="shared" si="1"/>
        <v>3627.9300000000003</v>
      </c>
      <c r="E7">
        <f t="shared" si="5"/>
        <v>3601.0940000000001</v>
      </c>
      <c r="F7" s="72">
        <f t="shared" si="0"/>
        <v>-464.23128813559288</v>
      </c>
      <c r="G7" s="72">
        <f t="shared" si="4"/>
        <v>-625.82328813559252</v>
      </c>
      <c r="H7">
        <f t="shared" si="2"/>
        <v>215510.68888403184</v>
      </c>
      <c r="I7">
        <f t="shared" si="3"/>
        <v>290526.75119643839</v>
      </c>
    </row>
    <row r="8" spans="1:9" x14ac:dyDescent="0.35">
      <c r="A8" s="60">
        <v>7</v>
      </c>
      <c r="B8" s="54" t="s">
        <v>9</v>
      </c>
      <c r="C8">
        <v>3793.3879999999999</v>
      </c>
      <c r="D8">
        <f t="shared" si="1"/>
        <v>3789.5219999999999</v>
      </c>
      <c r="E8">
        <f t="shared" si="5"/>
        <v>3627.9300000000003</v>
      </c>
      <c r="F8" s="72">
        <f t="shared" si="0"/>
        <v>-460.36528813559289</v>
      </c>
      <c r="G8" s="72">
        <f t="shared" si="4"/>
        <v>-464.23128813559288</v>
      </c>
      <c r="H8">
        <f t="shared" si="2"/>
        <v>211936.19852016747</v>
      </c>
      <c r="I8">
        <f t="shared" si="3"/>
        <v>213715.97072409966</v>
      </c>
    </row>
    <row r="9" spans="1:9" x14ac:dyDescent="0.35">
      <c r="A9" s="61">
        <v>8</v>
      </c>
      <c r="B9" s="55" t="s">
        <v>10</v>
      </c>
      <c r="C9">
        <v>3092.6509999999998</v>
      </c>
      <c r="D9">
        <f t="shared" si="1"/>
        <v>3793.3879999999999</v>
      </c>
      <c r="E9">
        <f t="shared" si="5"/>
        <v>3789.5219999999999</v>
      </c>
      <c r="F9" s="72">
        <f t="shared" si="0"/>
        <v>-1161.102288135593</v>
      </c>
      <c r="G9" s="72">
        <f t="shared" si="4"/>
        <v>-460.36528813559289</v>
      </c>
      <c r="H9">
        <f t="shared" si="2"/>
        <v>1348158.5235137097</v>
      </c>
      <c r="I9">
        <f t="shared" si="3"/>
        <v>534531.18943243846</v>
      </c>
    </row>
    <row r="10" spans="1:9" x14ac:dyDescent="0.35">
      <c r="A10" s="60">
        <v>9</v>
      </c>
      <c r="B10" s="54" t="s">
        <v>11</v>
      </c>
      <c r="C10">
        <v>3167.471</v>
      </c>
      <c r="D10">
        <f t="shared" si="1"/>
        <v>3092.6509999999998</v>
      </c>
      <c r="E10">
        <f t="shared" si="5"/>
        <v>3793.3879999999999</v>
      </c>
      <c r="F10" s="72">
        <f t="shared" si="0"/>
        <v>-1086.2822881355928</v>
      </c>
      <c r="G10" s="72">
        <f t="shared" si="4"/>
        <v>-1161.102288135593</v>
      </c>
      <c r="H10">
        <f t="shared" si="2"/>
        <v>1180009.209517099</v>
      </c>
      <c r="I10">
        <f t="shared" si="3"/>
        <v>1261284.8503154044</v>
      </c>
    </row>
    <row r="11" spans="1:9" x14ac:dyDescent="0.35">
      <c r="A11" s="61">
        <v>10</v>
      </c>
      <c r="B11" s="55" t="s">
        <v>12</v>
      </c>
      <c r="C11">
        <v>3291.1210000000001</v>
      </c>
      <c r="D11">
        <f t="shared" si="1"/>
        <v>3167.471</v>
      </c>
      <c r="E11">
        <f t="shared" si="5"/>
        <v>3092.6509999999998</v>
      </c>
      <c r="F11" s="72">
        <f t="shared" si="0"/>
        <v>-962.63228813559272</v>
      </c>
      <c r="G11" s="72">
        <f t="shared" si="4"/>
        <v>-1086.2822881355928</v>
      </c>
      <c r="H11">
        <f t="shared" si="2"/>
        <v>926660.92216116679</v>
      </c>
      <c r="I11">
        <f t="shared" si="3"/>
        <v>1045690.4045891329</v>
      </c>
    </row>
    <row r="12" spans="1:9" x14ac:dyDescent="0.35">
      <c r="A12" s="60">
        <v>11</v>
      </c>
      <c r="B12" s="54" t="s">
        <v>13</v>
      </c>
      <c r="C12">
        <v>3312.029</v>
      </c>
      <c r="D12">
        <f t="shared" si="1"/>
        <v>3291.1210000000001</v>
      </c>
      <c r="E12">
        <f t="shared" si="5"/>
        <v>3167.471</v>
      </c>
      <c r="F12" s="72">
        <f t="shared" si="0"/>
        <v>-941.72428813559281</v>
      </c>
      <c r="G12" s="72">
        <f t="shared" si="4"/>
        <v>-962.63228813559272</v>
      </c>
      <c r="H12">
        <f t="shared" si="2"/>
        <v>886844.63486448908</v>
      </c>
      <c r="I12">
        <f t="shared" si="3"/>
        <v>906534.20628082787</v>
      </c>
    </row>
    <row r="13" spans="1:9" x14ac:dyDescent="0.35">
      <c r="A13" s="61">
        <v>12</v>
      </c>
      <c r="B13" s="55" t="s">
        <v>14</v>
      </c>
      <c r="C13">
        <v>2360.7350000000001</v>
      </c>
      <c r="D13">
        <f t="shared" si="1"/>
        <v>3312.029</v>
      </c>
      <c r="E13">
        <f t="shared" si="5"/>
        <v>3291.1210000000001</v>
      </c>
      <c r="F13" s="72">
        <f t="shared" si="0"/>
        <v>-1893.0182881355927</v>
      </c>
      <c r="G13" s="72">
        <f t="shared" si="4"/>
        <v>-941.72428813559281</v>
      </c>
      <c r="H13">
        <f t="shared" si="2"/>
        <v>3583518.2392158099</v>
      </c>
      <c r="I13">
        <f t="shared" si="3"/>
        <v>1782701.2998221496</v>
      </c>
    </row>
    <row r="14" spans="1:9" x14ac:dyDescent="0.35">
      <c r="A14" s="60">
        <v>13</v>
      </c>
      <c r="B14" s="54" t="s">
        <v>15</v>
      </c>
      <c r="C14">
        <v>2895.9360000000001</v>
      </c>
      <c r="D14">
        <f t="shared" si="1"/>
        <v>2360.7350000000001</v>
      </c>
      <c r="E14">
        <f t="shared" si="5"/>
        <v>3312.029</v>
      </c>
      <c r="F14" s="72">
        <f t="shared" si="0"/>
        <v>-1357.8172881355927</v>
      </c>
      <c r="G14" s="72">
        <f t="shared" si="4"/>
        <v>-1893.0182881355927</v>
      </c>
      <c r="H14">
        <f t="shared" si="2"/>
        <v>1843667.7879598951</v>
      </c>
      <c r="I14">
        <f t="shared" si="3"/>
        <v>2570372.9583873525</v>
      </c>
    </row>
    <row r="15" spans="1:9" x14ac:dyDescent="0.35">
      <c r="A15" s="61">
        <v>14</v>
      </c>
      <c r="B15" s="55" t="s">
        <v>16</v>
      </c>
      <c r="C15">
        <v>3115.0299999999997</v>
      </c>
      <c r="D15">
        <f t="shared" si="1"/>
        <v>2895.9360000000001</v>
      </c>
      <c r="E15">
        <f t="shared" si="5"/>
        <v>2360.7350000000001</v>
      </c>
      <c r="F15" s="72">
        <f t="shared" si="0"/>
        <v>-1138.7232881355931</v>
      </c>
      <c r="G15" s="72">
        <f t="shared" si="4"/>
        <v>-1357.8172881355927</v>
      </c>
      <c r="H15">
        <f t="shared" si="2"/>
        <v>1296690.7269423369</v>
      </c>
      <c r="I15">
        <f t="shared" si="3"/>
        <v>1546178.1670331161</v>
      </c>
    </row>
    <row r="16" spans="1:9" x14ac:dyDescent="0.35">
      <c r="A16" s="60">
        <v>15</v>
      </c>
      <c r="B16" s="54" t="s">
        <v>17</v>
      </c>
      <c r="C16">
        <v>4035.8679999999999</v>
      </c>
      <c r="D16">
        <f t="shared" si="1"/>
        <v>3115.0299999999997</v>
      </c>
      <c r="E16">
        <f t="shared" si="5"/>
        <v>2895.9360000000001</v>
      </c>
      <c r="F16" s="72">
        <f t="shared" si="0"/>
        <v>-217.88528813559287</v>
      </c>
      <c r="G16" s="72">
        <f t="shared" si="4"/>
        <v>-1138.7232881355931</v>
      </c>
      <c r="H16">
        <f t="shared" si="2"/>
        <v>47473.998785930329</v>
      </c>
      <c r="I16">
        <f t="shared" si="3"/>
        <v>248111.05174213345</v>
      </c>
    </row>
    <row r="17" spans="1:9" x14ac:dyDescent="0.35">
      <c r="A17" s="61">
        <v>16</v>
      </c>
      <c r="B17" s="55" t="s">
        <v>18</v>
      </c>
      <c r="C17">
        <v>2831.4769999999999</v>
      </c>
      <c r="D17">
        <f t="shared" si="1"/>
        <v>4035.8679999999999</v>
      </c>
      <c r="E17">
        <f t="shared" si="5"/>
        <v>3115.0299999999997</v>
      </c>
      <c r="F17" s="72">
        <f t="shared" si="0"/>
        <v>-1422.2762881355929</v>
      </c>
      <c r="G17" s="72">
        <f t="shared" si="4"/>
        <v>-217.88528813559287</v>
      </c>
      <c r="H17">
        <f t="shared" si="2"/>
        <v>2022869.8397927603</v>
      </c>
      <c r="I17">
        <f t="shared" si="3"/>
        <v>309893.07884884521</v>
      </c>
    </row>
    <row r="18" spans="1:9" x14ac:dyDescent="0.35">
      <c r="A18" s="60">
        <v>17</v>
      </c>
      <c r="B18" s="54" t="s">
        <v>19</v>
      </c>
      <c r="C18">
        <v>3900.4079999999999</v>
      </c>
      <c r="D18">
        <f t="shared" si="1"/>
        <v>2831.4769999999999</v>
      </c>
      <c r="E18">
        <f t="shared" si="5"/>
        <v>4035.8679999999999</v>
      </c>
      <c r="F18" s="72">
        <f t="shared" si="0"/>
        <v>-353.34528813559291</v>
      </c>
      <c r="G18" s="72">
        <f t="shared" si="4"/>
        <v>-1422.2762881355929</v>
      </c>
      <c r="H18">
        <f t="shared" si="2"/>
        <v>124852.89264762518</v>
      </c>
      <c r="I18">
        <f t="shared" si="3"/>
        <v>502554.62483969267</v>
      </c>
    </row>
    <row r="19" spans="1:9" x14ac:dyDescent="0.35">
      <c r="A19" s="61">
        <v>18</v>
      </c>
      <c r="B19" s="55" t="s">
        <v>20</v>
      </c>
      <c r="C19">
        <v>3016.83</v>
      </c>
      <c r="D19">
        <f t="shared" si="1"/>
        <v>3900.4079999999999</v>
      </c>
      <c r="E19">
        <f t="shared" si="5"/>
        <v>2831.4769999999999</v>
      </c>
      <c r="F19" s="72">
        <f t="shared" si="0"/>
        <v>-1236.9232881355929</v>
      </c>
      <c r="G19" s="72">
        <f t="shared" si="4"/>
        <v>-353.34528813559291</v>
      </c>
      <c r="H19">
        <f t="shared" si="2"/>
        <v>1529979.2207321669</v>
      </c>
      <c r="I19">
        <f t="shared" si="3"/>
        <v>437061.0156478961</v>
      </c>
    </row>
    <row r="20" spans="1:9" x14ac:dyDescent="0.35">
      <c r="A20" s="60">
        <v>19</v>
      </c>
      <c r="B20" s="54" t="s">
        <v>21</v>
      </c>
      <c r="C20">
        <v>4165.1149999999998</v>
      </c>
      <c r="D20">
        <f t="shared" si="1"/>
        <v>3016.83</v>
      </c>
      <c r="E20">
        <f t="shared" si="5"/>
        <v>3900.4079999999999</v>
      </c>
      <c r="F20" s="72">
        <f t="shared" si="0"/>
        <v>-88.638288135593029</v>
      </c>
      <c r="G20" s="72">
        <f t="shared" si="4"/>
        <v>-1236.9232881355929</v>
      </c>
      <c r="H20">
        <f t="shared" si="2"/>
        <v>7856.7461236084118</v>
      </c>
      <c r="I20">
        <f t="shared" si="3"/>
        <v>109638.76281538785</v>
      </c>
    </row>
    <row r="21" spans="1:9" x14ac:dyDescent="0.35">
      <c r="A21" s="61">
        <v>20</v>
      </c>
      <c r="B21" s="55" t="s">
        <v>22</v>
      </c>
      <c r="C21">
        <v>2911.9210000000003</v>
      </c>
      <c r="D21">
        <f t="shared" si="1"/>
        <v>4165.1149999999998</v>
      </c>
      <c r="E21">
        <f t="shared" si="5"/>
        <v>3016.83</v>
      </c>
      <c r="F21" s="72">
        <f t="shared" si="0"/>
        <v>-1341.8322881355925</v>
      </c>
      <c r="G21" s="72">
        <f t="shared" si="4"/>
        <v>-88.638288135593029</v>
      </c>
      <c r="H21">
        <f t="shared" si="2"/>
        <v>1800513.8894831999</v>
      </c>
      <c r="I21">
        <f t="shared" si="3"/>
        <v>118937.71698540474</v>
      </c>
    </row>
    <row r="22" spans="1:9" x14ac:dyDescent="0.35">
      <c r="A22" s="60">
        <v>21</v>
      </c>
      <c r="B22" s="54" t="s">
        <v>23</v>
      </c>
      <c r="C22">
        <v>3185.0740000000001</v>
      </c>
      <c r="D22">
        <f t="shared" si="1"/>
        <v>2911.9210000000003</v>
      </c>
      <c r="E22">
        <f t="shared" si="5"/>
        <v>4165.1149999999998</v>
      </c>
      <c r="F22" s="72">
        <f t="shared" si="0"/>
        <v>-1068.6792881355927</v>
      </c>
      <c r="G22" s="72">
        <f t="shared" si="4"/>
        <v>-1341.8322881355925</v>
      </c>
      <c r="H22">
        <f t="shared" si="2"/>
        <v>1142075.4208899972</v>
      </c>
      <c r="I22">
        <f t="shared" si="3"/>
        <v>1433988.3744820985</v>
      </c>
    </row>
    <row r="23" spans="1:9" x14ac:dyDescent="0.35">
      <c r="A23" s="61">
        <v>22</v>
      </c>
      <c r="B23" s="55" t="s">
        <v>24</v>
      </c>
      <c r="C23">
        <v>3265.3599999999997</v>
      </c>
      <c r="D23">
        <f t="shared" si="1"/>
        <v>3185.0740000000001</v>
      </c>
      <c r="E23">
        <f t="shared" si="5"/>
        <v>2911.9210000000003</v>
      </c>
      <c r="F23" s="72">
        <f t="shared" si="0"/>
        <v>-988.39328813559314</v>
      </c>
      <c r="G23" s="72">
        <f t="shared" si="4"/>
        <v>-1068.6792881355927</v>
      </c>
      <c r="H23">
        <f t="shared" si="2"/>
        <v>976921.29203148966</v>
      </c>
      <c r="I23">
        <f t="shared" si="3"/>
        <v>1056275.4355627436</v>
      </c>
    </row>
    <row r="24" spans="1:9" x14ac:dyDescent="0.35">
      <c r="A24" s="60">
        <v>23</v>
      </c>
      <c r="B24" s="54" t="s">
        <v>25</v>
      </c>
      <c r="C24">
        <v>4256.2119999999995</v>
      </c>
      <c r="D24">
        <f t="shared" si="1"/>
        <v>3265.3599999999997</v>
      </c>
      <c r="E24">
        <f t="shared" si="5"/>
        <v>3185.0740000000001</v>
      </c>
      <c r="F24" s="72">
        <f t="shared" si="0"/>
        <v>2.4587118644067232</v>
      </c>
      <c r="G24" s="72">
        <f t="shared" si="4"/>
        <v>-988.39328813559314</v>
      </c>
      <c r="H24">
        <f t="shared" si="2"/>
        <v>6.0452640321743845</v>
      </c>
      <c r="I24">
        <f t="shared" si="3"/>
        <v>-2430.1743042389558</v>
      </c>
    </row>
    <row r="25" spans="1:9" x14ac:dyDescent="0.35">
      <c r="A25" s="61">
        <v>24</v>
      </c>
      <c r="B25" s="55" t="s">
        <v>26</v>
      </c>
      <c r="C25">
        <v>3411.14</v>
      </c>
      <c r="D25">
        <f t="shared" si="1"/>
        <v>4256.2119999999995</v>
      </c>
      <c r="E25">
        <f t="shared" si="5"/>
        <v>3265.3599999999997</v>
      </c>
      <c r="F25" s="72">
        <f t="shared" si="0"/>
        <v>-842.61328813559294</v>
      </c>
      <c r="G25" s="72">
        <f t="shared" si="4"/>
        <v>2.4587118644067232</v>
      </c>
      <c r="H25">
        <f t="shared" si="2"/>
        <v>709997.15334267577</v>
      </c>
      <c r="I25">
        <f t="shared" si="3"/>
        <v>-2071.7432886457432</v>
      </c>
    </row>
    <row r="26" spans="1:9" x14ac:dyDescent="0.35">
      <c r="A26" s="60">
        <v>25</v>
      </c>
      <c r="B26" s="54" t="s">
        <v>27</v>
      </c>
      <c r="C26">
        <v>3494.1019999999999</v>
      </c>
      <c r="D26">
        <f t="shared" si="1"/>
        <v>3411.14</v>
      </c>
      <c r="E26">
        <f t="shared" si="5"/>
        <v>4256.2119999999995</v>
      </c>
      <c r="F26" s="72">
        <f t="shared" si="0"/>
        <v>-759.65128813559295</v>
      </c>
      <c r="G26" s="72">
        <f t="shared" si="4"/>
        <v>-842.61328813559294</v>
      </c>
      <c r="H26">
        <f t="shared" si="2"/>
        <v>577070.07956606569</v>
      </c>
      <c r="I26">
        <f t="shared" si="3"/>
        <v>640092.26973237074</v>
      </c>
    </row>
    <row r="27" spans="1:9" x14ac:dyDescent="0.35">
      <c r="A27" s="61">
        <v>26</v>
      </c>
      <c r="B27" s="55" t="s">
        <v>28</v>
      </c>
      <c r="C27">
        <v>3692.1639999999998</v>
      </c>
      <c r="D27">
        <f t="shared" si="1"/>
        <v>3494.1019999999999</v>
      </c>
      <c r="E27">
        <f t="shared" si="5"/>
        <v>3411.14</v>
      </c>
      <c r="F27" s="72">
        <f t="shared" si="0"/>
        <v>-561.58928813559305</v>
      </c>
      <c r="G27" s="72">
        <f t="shared" si="4"/>
        <v>-759.65128813559295</v>
      </c>
      <c r="H27">
        <f t="shared" si="2"/>
        <v>315382.52854864218</v>
      </c>
      <c r="I27">
        <f t="shared" si="3"/>
        <v>426612.02613535395</v>
      </c>
    </row>
    <row r="28" spans="1:9" x14ac:dyDescent="0.35">
      <c r="A28" s="60">
        <v>27</v>
      </c>
      <c r="B28" s="54" t="s">
        <v>29</v>
      </c>
      <c r="C28">
        <v>3714.1660000000002</v>
      </c>
      <c r="D28">
        <f t="shared" si="1"/>
        <v>3692.1639999999998</v>
      </c>
      <c r="E28">
        <f t="shared" si="5"/>
        <v>3494.1019999999999</v>
      </c>
      <c r="F28" s="72">
        <f t="shared" si="0"/>
        <v>-539.58728813559264</v>
      </c>
      <c r="G28" s="72">
        <f t="shared" si="4"/>
        <v>-561.58928813559305</v>
      </c>
      <c r="H28">
        <f t="shared" si="2"/>
        <v>291154.44151752308</v>
      </c>
      <c r="I28">
        <f t="shared" si="3"/>
        <v>303026.44103108259</v>
      </c>
    </row>
    <row r="29" spans="1:9" x14ac:dyDescent="0.35">
      <c r="A29" s="61">
        <v>28</v>
      </c>
      <c r="B29" s="55" t="s">
        <v>30</v>
      </c>
      <c r="C29">
        <v>3807.252</v>
      </c>
      <c r="D29">
        <f t="shared" si="1"/>
        <v>3714.1660000000002</v>
      </c>
      <c r="E29">
        <f t="shared" si="5"/>
        <v>3692.1639999999998</v>
      </c>
      <c r="F29" s="72">
        <f t="shared" si="0"/>
        <v>-446.50128813559286</v>
      </c>
      <c r="G29" s="72">
        <f t="shared" si="4"/>
        <v>-539.58728813559264</v>
      </c>
      <c r="H29">
        <f t="shared" si="2"/>
        <v>199363.40030674372</v>
      </c>
      <c r="I29">
        <f t="shared" si="3"/>
        <v>240926.41921413341</v>
      </c>
    </row>
    <row r="30" spans="1:9" x14ac:dyDescent="0.35">
      <c r="A30" s="60">
        <v>29</v>
      </c>
      <c r="B30" s="54" t="s">
        <v>31</v>
      </c>
      <c r="C30">
        <v>3889.8969999999999</v>
      </c>
      <c r="D30">
        <f t="shared" si="1"/>
        <v>3807.252</v>
      </c>
      <c r="E30">
        <f t="shared" si="5"/>
        <v>3714.1660000000002</v>
      </c>
      <c r="F30" s="72">
        <f t="shared" si="0"/>
        <v>-363.85628813559288</v>
      </c>
      <c r="G30" s="72">
        <f t="shared" si="4"/>
        <v>-446.50128813559286</v>
      </c>
      <c r="H30">
        <f t="shared" si="2"/>
        <v>132391.39841581159</v>
      </c>
      <c r="I30">
        <f t="shared" si="3"/>
        <v>162462.30134877766</v>
      </c>
    </row>
    <row r="31" spans="1:9" x14ac:dyDescent="0.35">
      <c r="A31" s="61">
        <v>30</v>
      </c>
      <c r="B31" s="55" t="s">
        <v>32</v>
      </c>
      <c r="C31">
        <v>4010.0519999999997</v>
      </c>
      <c r="D31">
        <f t="shared" si="1"/>
        <v>3889.8969999999999</v>
      </c>
      <c r="E31">
        <f t="shared" si="5"/>
        <v>3807.252</v>
      </c>
      <c r="F31" s="72">
        <f t="shared" si="0"/>
        <v>-243.70128813559313</v>
      </c>
      <c r="G31" s="72">
        <f t="shared" si="4"/>
        <v>-363.85628813559288</v>
      </c>
      <c r="H31">
        <f t="shared" si="2"/>
        <v>59390.317838947383</v>
      </c>
      <c r="I31">
        <f t="shared" si="3"/>
        <v>88672.246114879512</v>
      </c>
    </row>
    <row r="32" spans="1:9" x14ac:dyDescent="0.35">
      <c r="A32" s="60">
        <v>31</v>
      </c>
      <c r="B32" s="54" t="s">
        <v>33</v>
      </c>
      <c r="C32">
        <v>3947.6409999999996</v>
      </c>
      <c r="D32">
        <f t="shared" si="1"/>
        <v>4010.0519999999997</v>
      </c>
      <c r="E32">
        <f t="shared" si="5"/>
        <v>3889.8969999999999</v>
      </c>
      <c r="F32" s="72">
        <f t="shared" si="0"/>
        <v>-306.11228813559319</v>
      </c>
      <c r="G32" s="72">
        <f t="shared" si="4"/>
        <v>-243.70128813559313</v>
      </c>
      <c r="H32">
        <f t="shared" si="2"/>
        <v>93704.732947608427</v>
      </c>
      <c r="I32">
        <f t="shared" si="3"/>
        <v>74599.958932777896</v>
      </c>
    </row>
    <row r="33" spans="1:9" x14ac:dyDescent="0.35">
      <c r="A33" s="61">
        <v>32</v>
      </c>
      <c r="B33" s="55" t="s">
        <v>34</v>
      </c>
      <c r="C33">
        <v>4314.2849999999999</v>
      </c>
      <c r="D33">
        <f t="shared" si="1"/>
        <v>3947.6409999999996</v>
      </c>
      <c r="E33">
        <f t="shared" si="5"/>
        <v>4010.0519999999997</v>
      </c>
      <c r="F33" s="72">
        <f t="shared" si="0"/>
        <v>60.531711864407043</v>
      </c>
      <c r="G33" s="72">
        <f t="shared" si="4"/>
        <v>-306.11228813559319</v>
      </c>
      <c r="H33">
        <f t="shared" si="2"/>
        <v>3664.0881412355966</v>
      </c>
      <c r="I33">
        <f t="shared" si="3"/>
        <v>-18529.500823578073</v>
      </c>
    </row>
    <row r="34" spans="1:9" x14ac:dyDescent="0.35">
      <c r="A34" s="60">
        <v>33</v>
      </c>
      <c r="B34" s="54" t="s">
        <v>35</v>
      </c>
      <c r="C34">
        <v>4375.1080000000002</v>
      </c>
      <c r="D34">
        <f t="shared" ref="D34:D60" si="6">C33</f>
        <v>4314.2849999999999</v>
      </c>
      <c r="E34">
        <f t="shared" si="5"/>
        <v>3947.6409999999996</v>
      </c>
      <c r="F34" s="72">
        <f t="shared" ref="F34:F60" si="7">C34-$D$66</f>
        <v>121.35471186440736</v>
      </c>
      <c r="G34" s="72">
        <f t="shared" ref="G34:G60" si="8">F33</f>
        <v>60.531711864407043</v>
      </c>
      <c r="H34">
        <f t="shared" ref="H34:H60" si="9">POWER(F34,2)</f>
        <v>14726.966091693334</v>
      </c>
      <c r="I34">
        <f t="shared" ref="I34:I60" si="10">F34*G34</f>
        <v>7345.8084519644453</v>
      </c>
    </row>
    <row r="35" spans="1:9" x14ac:dyDescent="0.35">
      <c r="A35" s="61">
        <v>34</v>
      </c>
      <c r="B35" s="55" t="s">
        <v>36</v>
      </c>
      <c r="C35">
        <v>4398.5460000000003</v>
      </c>
      <c r="D35">
        <f t="shared" si="6"/>
        <v>4375.1080000000002</v>
      </c>
      <c r="E35">
        <f t="shared" si="5"/>
        <v>4314.2849999999999</v>
      </c>
      <c r="F35" s="72">
        <f t="shared" si="7"/>
        <v>144.79271186440747</v>
      </c>
      <c r="G35" s="72">
        <f t="shared" si="8"/>
        <v>121.35471186440736</v>
      </c>
      <c r="H35">
        <f t="shared" si="9"/>
        <v>20964.929409049324</v>
      </c>
      <c r="I35">
        <f t="shared" si="10"/>
        <v>17571.277828371327</v>
      </c>
    </row>
    <row r="36" spans="1:9" x14ac:dyDescent="0.35">
      <c r="A36" s="60">
        <v>35</v>
      </c>
      <c r="B36" s="54" t="s">
        <v>37</v>
      </c>
      <c r="C36">
        <v>4257.6869999999999</v>
      </c>
      <c r="D36">
        <f t="shared" si="6"/>
        <v>4398.5460000000003</v>
      </c>
      <c r="E36">
        <f t="shared" si="5"/>
        <v>4375.1080000000002</v>
      </c>
      <c r="F36" s="72">
        <f t="shared" si="7"/>
        <v>3.933711864407087</v>
      </c>
      <c r="G36" s="72">
        <f t="shared" si="8"/>
        <v>144.79271186440747</v>
      </c>
      <c r="H36">
        <f t="shared" si="9"/>
        <v>15.47408903217708</v>
      </c>
      <c r="I36">
        <f t="shared" si="10"/>
        <v>569.57280854069643</v>
      </c>
    </row>
    <row r="37" spans="1:9" x14ac:dyDescent="0.35">
      <c r="A37" s="61">
        <v>36</v>
      </c>
      <c r="B37" s="55" t="s">
        <v>38</v>
      </c>
      <c r="C37">
        <v>4518.3440000000001</v>
      </c>
      <c r="D37">
        <f t="shared" si="6"/>
        <v>4257.6869999999999</v>
      </c>
      <c r="E37">
        <f t="shared" si="5"/>
        <v>4398.5460000000003</v>
      </c>
      <c r="F37" s="72">
        <f t="shared" si="7"/>
        <v>264.59071186440724</v>
      </c>
      <c r="G37" s="72">
        <f t="shared" si="8"/>
        <v>3.933711864407087</v>
      </c>
      <c r="H37">
        <f t="shared" si="9"/>
        <v>70008.244804913775</v>
      </c>
      <c r="I37">
        <f t="shared" si="10"/>
        <v>1040.8236224729358</v>
      </c>
    </row>
    <row r="38" spans="1:9" x14ac:dyDescent="0.35">
      <c r="A38" s="60">
        <v>37</v>
      </c>
      <c r="B38" s="54" t="s">
        <v>39</v>
      </c>
      <c r="C38">
        <v>4358.7479999999996</v>
      </c>
      <c r="D38">
        <f t="shared" si="6"/>
        <v>4518.3440000000001</v>
      </c>
      <c r="E38">
        <f t="shared" si="5"/>
        <v>4257.6869999999999</v>
      </c>
      <c r="F38" s="72">
        <f t="shared" si="7"/>
        <v>104.99471186440678</v>
      </c>
      <c r="G38" s="72">
        <f t="shared" si="8"/>
        <v>264.59071186440724</v>
      </c>
      <c r="H38">
        <f t="shared" si="9"/>
        <v>11023.889519489801</v>
      </c>
      <c r="I38">
        <f t="shared" si="10"/>
        <v>27780.625554201713</v>
      </c>
    </row>
    <row r="39" spans="1:9" x14ac:dyDescent="0.35">
      <c r="A39" s="61">
        <v>38</v>
      </c>
      <c r="B39" s="55" t="s">
        <v>40</v>
      </c>
      <c r="C39">
        <v>4560.9520000000002</v>
      </c>
      <c r="D39">
        <f t="shared" si="6"/>
        <v>4358.7479999999996</v>
      </c>
      <c r="E39">
        <f t="shared" si="5"/>
        <v>4518.3440000000001</v>
      </c>
      <c r="F39" s="72">
        <f t="shared" si="7"/>
        <v>307.19871186440741</v>
      </c>
      <c r="G39" s="72">
        <f t="shared" si="8"/>
        <v>104.99471186440678</v>
      </c>
      <c r="H39">
        <f t="shared" si="9"/>
        <v>94371.048571151216</v>
      </c>
      <c r="I39">
        <f t="shared" si="10"/>
        <v>32254.240237320377</v>
      </c>
    </row>
    <row r="40" spans="1:9" x14ac:dyDescent="0.35">
      <c r="A40" s="60">
        <v>39</v>
      </c>
      <c r="B40" s="54" t="s">
        <v>41</v>
      </c>
      <c r="C40">
        <v>4659.3</v>
      </c>
      <c r="D40">
        <f t="shared" si="6"/>
        <v>4560.9520000000002</v>
      </c>
      <c r="E40">
        <f t="shared" si="5"/>
        <v>4358.7479999999996</v>
      </c>
      <c r="F40" s="72">
        <f t="shared" si="7"/>
        <v>405.54671186440737</v>
      </c>
      <c r="G40" s="72">
        <f t="shared" si="8"/>
        <v>307.19871186440741</v>
      </c>
      <c r="H40">
        <f t="shared" si="9"/>
        <v>164468.13550403266</v>
      </c>
      <c r="I40">
        <f t="shared" si="10"/>
        <v>124583.42748559194</v>
      </c>
    </row>
    <row r="41" spans="1:9" x14ac:dyDescent="0.35">
      <c r="A41" s="61">
        <v>40</v>
      </c>
      <c r="B41" s="55" t="s">
        <v>42</v>
      </c>
      <c r="C41">
        <v>4750.366</v>
      </c>
      <c r="D41">
        <f t="shared" si="6"/>
        <v>4659.3</v>
      </c>
      <c r="E41">
        <f t="shared" si="5"/>
        <v>4560.9520000000002</v>
      </c>
      <c r="F41" s="72">
        <f t="shared" si="7"/>
        <v>496.61271186440717</v>
      </c>
      <c r="G41" s="72">
        <f t="shared" si="8"/>
        <v>405.54671186440737</v>
      </c>
      <c r="H41">
        <f t="shared" si="9"/>
        <v>246624.18558532069</v>
      </c>
      <c r="I41">
        <f t="shared" si="10"/>
        <v>201399.65236667669</v>
      </c>
    </row>
    <row r="42" spans="1:9" x14ac:dyDescent="0.35">
      <c r="A42" s="60">
        <v>41</v>
      </c>
      <c r="B42" s="54" t="s">
        <v>43</v>
      </c>
      <c r="C42">
        <v>4532.5</v>
      </c>
      <c r="D42">
        <f t="shared" si="6"/>
        <v>4750.366</v>
      </c>
      <c r="E42">
        <f t="shared" si="5"/>
        <v>4659.3</v>
      </c>
      <c r="F42" s="72">
        <f t="shared" si="7"/>
        <v>278.74671186440719</v>
      </c>
      <c r="G42" s="72">
        <f t="shared" si="8"/>
        <v>496.61271186440717</v>
      </c>
      <c r="H42">
        <f t="shared" si="9"/>
        <v>77699.729375218842</v>
      </c>
      <c r="I42">
        <f t="shared" si="10"/>
        <v>138429.16050226978</v>
      </c>
    </row>
    <row r="43" spans="1:9" x14ac:dyDescent="0.35">
      <c r="A43" s="61">
        <v>42</v>
      </c>
      <c r="B43" s="55" t="s">
        <v>44</v>
      </c>
      <c r="C43">
        <v>4794.3590000000004</v>
      </c>
      <c r="D43">
        <f t="shared" si="6"/>
        <v>4532.5</v>
      </c>
      <c r="E43">
        <f t="shared" si="5"/>
        <v>4750.366</v>
      </c>
      <c r="F43" s="72">
        <f t="shared" si="7"/>
        <v>540.60571186440757</v>
      </c>
      <c r="G43" s="72">
        <f t="shared" si="8"/>
        <v>278.74671186440719</v>
      </c>
      <c r="H43">
        <f t="shared" si="9"/>
        <v>292254.53570042283</v>
      </c>
      <c r="I43">
        <f t="shared" si="10"/>
        <v>150692.06459732074</v>
      </c>
    </row>
    <row r="44" spans="1:9" x14ac:dyDescent="0.35">
      <c r="A44" s="60">
        <v>43</v>
      </c>
      <c r="B44" s="54" t="s">
        <v>45</v>
      </c>
      <c r="C44">
        <v>4187.83</v>
      </c>
      <c r="D44">
        <f t="shared" si="6"/>
        <v>4794.3590000000004</v>
      </c>
      <c r="E44">
        <f t="shared" si="5"/>
        <v>4532.5</v>
      </c>
      <c r="F44" s="72">
        <f t="shared" si="7"/>
        <v>-65.923288135592884</v>
      </c>
      <c r="G44" s="72">
        <f t="shared" si="8"/>
        <v>540.60571186440757</v>
      </c>
      <c r="H44">
        <f t="shared" si="9"/>
        <v>4345.8799186084016</v>
      </c>
      <c r="I44">
        <f t="shared" si="10"/>
        <v>-35638.506110984643</v>
      </c>
    </row>
    <row r="45" spans="1:9" x14ac:dyDescent="0.35">
      <c r="A45" s="61">
        <v>44</v>
      </c>
      <c r="B45" s="55" t="s">
        <v>46</v>
      </c>
      <c r="C45">
        <v>5120.07</v>
      </c>
      <c r="D45">
        <f t="shared" si="6"/>
        <v>4187.83</v>
      </c>
      <c r="E45">
        <f t="shared" si="5"/>
        <v>4794.3590000000004</v>
      </c>
      <c r="F45" s="72">
        <f t="shared" si="7"/>
        <v>866.3167118644069</v>
      </c>
      <c r="G45" s="72">
        <f t="shared" si="8"/>
        <v>-65.923288135592884</v>
      </c>
      <c r="H45">
        <f t="shared" si="9"/>
        <v>750504.64525555784</v>
      </c>
      <c r="I45">
        <f t="shared" si="10"/>
        <v>-57110.446212916693</v>
      </c>
    </row>
    <row r="46" spans="1:9" x14ac:dyDescent="0.35">
      <c r="A46" s="60">
        <v>45</v>
      </c>
      <c r="B46" s="54" t="s">
        <v>47</v>
      </c>
      <c r="C46">
        <v>4755.9179999999997</v>
      </c>
      <c r="D46">
        <f t="shared" si="6"/>
        <v>5120.07</v>
      </c>
      <c r="E46">
        <f t="shared" si="5"/>
        <v>4187.83</v>
      </c>
      <c r="F46" s="72">
        <f t="shared" si="7"/>
        <v>502.16471186440685</v>
      </c>
      <c r="G46" s="72">
        <f t="shared" si="8"/>
        <v>866.3167118644069</v>
      </c>
      <c r="H46">
        <f t="shared" si="9"/>
        <v>252169.39784186275</v>
      </c>
      <c r="I46">
        <f t="shared" si="10"/>
        <v>435033.68199671025</v>
      </c>
    </row>
    <row r="47" spans="1:9" x14ac:dyDescent="0.35">
      <c r="A47" s="61">
        <v>46</v>
      </c>
      <c r="B47" s="55" t="s">
        <v>48</v>
      </c>
      <c r="C47">
        <v>5158.3530000000001</v>
      </c>
      <c r="D47">
        <f t="shared" si="6"/>
        <v>4755.9179999999997</v>
      </c>
      <c r="E47">
        <f t="shared" si="5"/>
        <v>5120.07</v>
      </c>
      <c r="F47" s="72">
        <f t="shared" si="7"/>
        <v>904.59971186440725</v>
      </c>
      <c r="G47" s="72">
        <f t="shared" si="8"/>
        <v>502.16471186440685</v>
      </c>
      <c r="H47">
        <f t="shared" si="9"/>
        <v>818300.63870516862</v>
      </c>
      <c r="I47">
        <f t="shared" si="10"/>
        <v>454258.05366101552</v>
      </c>
    </row>
    <row r="48" spans="1:9" x14ac:dyDescent="0.35">
      <c r="A48" s="60">
        <v>47</v>
      </c>
      <c r="B48" s="54" t="s">
        <v>49</v>
      </c>
      <c r="C48">
        <v>5027.1220000000003</v>
      </c>
      <c r="D48">
        <f t="shared" si="6"/>
        <v>5158.3530000000001</v>
      </c>
      <c r="E48">
        <f t="shared" si="5"/>
        <v>4755.9179999999997</v>
      </c>
      <c r="F48" s="72">
        <f t="shared" si="7"/>
        <v>773.36871186440749</v>
      </c>
      <c r="G48" s="72">
        <f t="shared" si="8"/>
        <v>904.59971186440725</v>
      </c>
      <c r="H48">
        <f t="shared" si="9"/>
        <v>598099.16449081292</v>
      </c>
      <c r="I48">
        <f t="shared" si="10"/>
        <v>699589.11391749082</v>
      </c>
    </row>
    <row r="49" spans="1:9" x14ac:dyDescent="0.35">
      <c r="A49" s="61">
        <v>48</v>
      </c>
      <c r="B49" s="55" t="s">
        <v>50</v>
      </c>
      <c r="C49">
        <v>5410.277</v>
      </c>
      <c r="D49">
        <f t="shared" si="6"/>
        <v>5027.1220000000003</v>
      </c>
      <c r="E49">
        <f t="shared" si="5"/>
        <v>5158.3530000000001</v>
      </c>
      <c r="F49" s="72">
        <f t="shared" si="7"/>
        <v>1156.5237118644072</v>
      </c>
      <c r="G49" s="72">
        <f t="shared" si="8"/>
        <v>773.36871186440749</v>
      </c>
      <c r="H49">
        <f t="shared" si="9"/>
        <v>1337547.0961046265</v>
      </c>
      <c r="I49">
        <f t="shared" si="10"/>
        <v>894419.25328521978</v>
      </c>
    </row>
    <row r="50" spans="1:9" x14ac:dyDescent="0.35">
      <c r="A50" s="60">
        <v>49</v>
      </c>
      <c r="B50" s="54" t="s">
        <v>51</v>
      </c>
      <c r="C50">
        <v>5386.6620000000003</v>
      </c>
      <c r="D50">
        <f t="shared" si="6"/>
        <v>5410.277</v>
      </c>
      <c r="E50">
        <f t="shared" si="5"/>
        <v>5027.1220000000003</v>
      </c>
      <c r="F50" s="72">
        <f t="shared" si="7"/>
        <v>1132.9087118644075</v>
      </c>
      <c r="G50" s="72">
        <f t="shared" si="8"/>
        <v>1156.5237118644072</v>
      </c>
      <c r="H50">
        <f t="shared" si="9"/>
        <v>1283482.1494182709</v>
      </c>
      <c r="I50">
        <f t="shared" si="10"/>
        <v>1310235.7886489488</v>
      </c>
    </row>
    <row r="51" spans="1:9" x14ac:dyDescent="0.35">
      <c r="A51" s="61">
        <v>50</v>
      </c>
      <c r="B51" s="55" t="s">
        <v>52</v>
      </c>
      <c r="C51">
        <v>5543.451</v>
      </c>
      <c r="D51">
        <f t="shared" si="6"/>
        <v>5386.6620000000003</v>
      </c>
      <c r="E51">
        <f t="shared" si="5"/>
        <v>5410.277</v>
      </c>
      <c r="F51" s="72">
        <f t="shared" si="7"/>
        <v>1289.6977118644072</v>
      </c>
      <c r="G51" s="72">
        <f t="shared" si="8"/>
        <v>1132.9087118644075</v>
      </c>
      <c r="H51">
        <f t="shared" si="9"/>
        <v>1663320.1879882875</v>
      </c>
      <c r="I51">
        <f t="shared" si="10"/>
        <v>1461109.7734427792</v>
      </c>
    </row>
    <row r="52" spans="1:9" x14ac:dyDescent="0.35">
      <c r="A52" s="60">
        <v>51</v>
      </c>
      <c r="B52" s="54" t="s">
        <v>53</v>
      </c>
      <c r="C52">
        <v>5764.6930000000002</v>
      </c>
      <c r="D52">
        <f t="shared" si="6"/>
        <v>5543.451</v>
      </c>
      <c r="E52">
        <f t="shared" si="5"/>
        <v>5386.6620000000003</v>
      </c>
      <c r="F52" s="72">
        <f t="shared" si="7"/>
        <v>1510.9397118644074</v>
      </c>
      <c r="G52" s="72">
        <f t="shared" si="8"/>
        <v>1289.6977118644072</v>
      </c>
      <c r="H52">
        <f t="shared" si="9"/>
        <v>2282938.8128888984</v>
      </c>
      <c r="I52">
        <f t="shared" si="10"/>
        <v>1948655.4891565929</v>
      </c>
    </row>
    <row r="53" spans="1:9" x14ac:dyDescent="0.35">
      <c r="A53" s="61">
        <v>52</v>
      </c>
      <c r="B53" s="55" t="s">
        <v>54</v>
      </c>
      <c r="C53">
        <v>6170.3580000000002</v>
      </c>
      <c r="D53">
        <f t="shared" si="6"/>
        <v>5764.6930000000002</v>
      </c>
      <c r="E53">
        <f t="shared" si="5"/>
        <v>5543.451</v>
      </c>
      <c r="F53" s="72">
        <f t="shared" si="7"/>
        <v>1916.6047118644074</v>
      </c>
      <c r="G53" s="72">
        <f t="shared" si="8"/>
        <v>1510.9397118644074</v>
      </c>
      <c r="H53">
        <f t="shared" si="9"/>
        <v>3673373.6215408482</v>
      </c>
      <c r="I53">
        <f t="shared" si="10"/>
        <v>2895874.1711023734</v>
      </c>
    </row>
    <row r="54" spans="1:9" x14ac:dyDescent="0.35">
      <c r="A54" s="60">
        <v>53</v>
      </c>
      <c r="B54" s="54" t="s">
        <v>55</v>
      </c>
      <c r="C54">
        <v>6077.558</v>
      </c>
      <c r="D54">
        <f t="shared" si="6"/>
        <v>6170.3580000000002</v>
      </c>
      <c r="E54">
        <f t="shared" si="5"/>
        <v>5764.6930000000002</v>
      </c>
      <c r="F54" s="72">
        <f t="shared" si="7"/>
        <v>1823.8047118644072</v>
      </c>
      <c r="G54" s="72">
        <f t="shared" si="8"/>
        <v>1916.6047118644074</v>
      </c>
      <c r="H54">
        <f t="shared" si="9"/>
        <v>3326263.6270188135</v>
      </c>
      <c r="I54">
        <f t="shared" si="10"/>
        <v>3495512.7042798307</v>
      </c>
    </row>
    <row r="55" spans="1:9" x14ac:dyDescent="0.35">
      <c r="A55" s="61">
        <v>54</v>
      </c>
      <c r="B55" s="55" t="s">
        <v>56</v>
      </c>
      <c r="C55">
        <v>6345.5069999999996</v>
      </c>
      <c r="D55">
        <f t="shared" si="6"/>
        <v>6077.558</v>
      </c>
      <c r="E55">
        <f t="shared" si="5"/>
        <v>6170.3580000000002</v>
      </c>
      <c r="F55" s="72">
        <f t="shared" si="7"/>
        <v>2091.7537118644068</v>
      </c>
      <c r="G55" s="72">
        <f t="shared" si="8"/>
        <v>1823.8047118644072</v>
      </c>
      <c r="H55">
        <f t="shared" si="9"/>
        <v>4375433.5910985237</v>
      </c>
      <c r="I55">
        <f t="shared" si="10"/>
        <v>3814950.2757581687</v>
      </c>
    </row>
    <row r="56" spans="1:9" x14ac:dyDescent="0.35">
      <c r="A56" s="60">
        <v>55</v>
      </c>
      <c r="B56" s="54" t="s">
        <v>57</v>
      </c>
      <c r="C56">
        <v>6394.8150000000005</v>
      </c>
      <c r="D56">
        <f t="shared" si="6"/>
        <v>6345.5069999999996</v>
      </c>
      <c r="E56">
        <f t="shared" si="5"/>
        <v>6077.558</v>
      </c>
      <c r="F56" s="72">
        <f t="shared" si="7"/>
        <v>2141.0617118644077</v>
      </c>
      <c r="G56" s="72">
        <f t="shared" si="8"/>
        <v>2091.7537118644068</v>
      </c>
      <c r="H56">
        <f t="shared" si="9"/>
        <v>4584145.2540117484</v>
      </c>
      <c r="I56">
        <f t="shared" si="10"/>
        <v>4478573.7831231356</v>
      </c>
    </row>
    <row r="57" spans="1:9" x14ac:dyDescent="0.35">
      <c r="A57" s="61">
        <v>56</v>
      </c>
      <c r="B57" s="55" t="s">
        <v>58</v>
      </c>
      <c r="C57">
        <v>5744.5879999999997</v>
      </c>
      <c r="D57">
        <f t="shared" si="6"/>
        <v>6394.8150000000005</v>
      </c>
      <c r="E57">
        <f t="shared" si="5"/>
        <v>6345.5069999999996</v>
      </c>
      <c r="F57" s="72">
        <f t="shared" si="7"/>
        <v>1490.8347118644069</v>
      </c>
      <c r="G57" s="72">
        <f t="shared" si="8"/>
        <v>2141.0617118644077</v>
      </c>
      <c r="H57">
        <f t="shared" si="9"/>
        <v>2222588.1380998292</v>
      </c>
      <c r="I57">
        <f t="shared" si="10"/>
        <v>3191969.120291288</v>
      </c>
    </row>
    <row r="58" spans="1:9" x14ac:dyDescent="0.35">
      <c r="A58" s="60">
        <v>57</v>
      </c>
      <c r="B58" s="54" t="s">
        <v>59</v>
      </c>
      <c r="C58">
        <v>6680.277</v>
      </c>
      <c r="D58">
        <f t="shared" si="6"/>
        <v>5744.5879999999997</v>
      </c>
      <c r="E58">
        <f t="shared" si="5"/>
        <v>6394.8150000000005</v>
      </c>
      <c r="F58" s="72">
        <f t="shared" si="7"/>
        <v>2426.5237118644072</v>
      </c>
      <c r="G58" s="72">
        <f t="shared" si="8"/>
        <v>1490.8347118644069</v>
      </c>
      <c r="H58">
        <f t="shared" si="9"/>
        <v>5888017.3242402207</v>
      </c>
      <c r="I58">
        <f t="shared" si="10"/>
        <v>3617545.7788095246</v>
      </c>
    </row>
    <row r="59" spans="1:9" x14ac:dyDescent="0.35">
      <c r="A59" s="61">
        <v>58</v>
      </c>
      <c r="B59" s="55" t="s">
        <v>60</v>
      </c>
      <c r="C59">
        <v>4965.5910000000003</v>
      </c>
      <c r="D59">
        <f t="shared" si="6"/>
        <v>6680.277</v>
      </c>
      <c r="E59">
        <f t="shared" si="5"/>
        <v>5744.5879999999997</v>
      </c>
      <c r="F59" s="72">
        <f t="shared" si="7"/>
        <v>711.83771186440754</v>
      </c>
      <c r="G59" s="72">
        <f t="shared" si="8"/>
        <v>2426.5237118644072</v>
      </c>
      <c r="H59">
        <f t="shared" si="9"/>
        <v>506712.92803235527</v>
      </c>
      <c r="I59">
        <f t="shared" si="10"/>
        <v>1727291.0868382885</v>
      </c>
    </row>
    <row r="60" spans="1:9" x14ac:dyDescent="0.35">
      <c r="A60" s="60">
        <v>59</v>
      </c>
      <c r="B60" s="54" t="s">
        <v>61</v>
      </c>
      <c r="C60">
        <v>5070.607</v>
      </c>
      <c r="D60">
        <f t="shared" si="6"/>
        <v>4965.5910000000003</v>
      </c>
      <c r="E60">
        <f t="shared" si="5"/>
        <v>6680.277</v>
      </c>
      <c r="F60" s="72">
        <f t="shared" si="7"/>
        <v>816.85371186440716</v>
      </c>
      <c r="G60" s="72">
        <f t="shared" si="8"/>
        <v>711.83771186440754</v>
      </c>
      <c r="H60">
        <f t="shared" si="9"/>
        <v>667249.98658665991</v>
      </c>
      <c r="I60">
        <f t="shared" si="10"/>
        <v>581467.27718150767</v>
      </c>
    </row>
    <row r="61" spans="1:9" x14ac:dyDescent="0.35">
      <c r="A61" s="75"/>
      <c r="B61" s="76"/>
      <c r="C61">
        <f>SUBTOTAL(109,Tabla9[Datos originales Yt])</f>
        <v>250971.44399999999</v>
      </c>
      <c r="F61" s="72">
        <f>SUBTOTAL(109,Tabla9[(Yt -Ȳ)])</f>
        <v>2.3646862246096134E-11</v>
      </c>
      <c r="G61" s="72"/>
      <c r="H61">
        <f>SUBTOTAL(109,Tabla9[(Yt-1 -Ȳ)2])</f>
        <v>60024821.548778109</v>
      </c>
      <c r="I61">
        <f>SUBTOTAL(109,Tabla9[(Yt -Ȳ)(Yt -1 -Ȳ)])</f>
        <v>50377187.160293378</v>
      </c>
    </row>
    <row r="66" spans="1:9" x14ac:dyDescent="0.35">
      <c r="C66" s="66" t="s">
        <v>1235</v>
      </c>
      <c r="D66" s="77">
        <f>SUM(Tabla9[Datos originales Yt])/COUNT(Tabla9[Datos originales Yt])</f>
        <v>4253.7532881355928</v>
      </c>
    </row>
    <row r="67" spans="1:9" ht="58" x14ac:dyDescent="0.35">
      <c r="B67" s="67" t="s">
        <v>1246</v>
      </c>
      <c r="C67" s="66" t="s">
        <v>1236</v>
      </c>
      <c r="D67" s="87">
        <f>Tabla9[[#Totals],[(Yt -Ȳ)(Yt -1 -Ȳ)]]/Tabla9[[#Totals],[(Yt-1 -Ȳ)2]]</f>
        <v>0.83927258524800863</v>
      </c>
      <c r="E67" t="s">
        <v>1245</v>
      </c>
    </row>
    <row r="68" spans="1:9" x14ac:dyDescent="0.35">
      <c r="C68" s="66" t="s">
        <v>1244</v>
      </c>
      <c r="D68">
        <f>POWER(D67,2)</f>
        <v>0.70437847234887596</v>
      </c>
    </row>
    <row r="71" spans="1:9" ht="43.5" x14ac:dyDescent="0.35">
      <c r="A71" s="83" t="s">
        <v>1231</v>
      </c>
      <c r="B71" s="84" t="s">
        <v>1205</v>
      </c>
      <c r="C71" s="85" t="s">
        <v>1232</v>
      </c>
      <c r="D71" s="85" t="s">
        <v>1234</v>
      </c>
      <c r="E71" s="85" t="s">
        <v>1242</v>
      </c>
      <c r="F71" s="84" t="s">
        <v>1237</v>
      </c>
      <c r="G71" s="84" t="s">
        <v>1238</v>
      </c>
      <c r="H71" s="84" t="s">
        <v>1240</v>
      </c>
      <c r="I71" s="83" t="s">
        <v>1241</v>
      </c>
    </row>
    <row r="72" spans="1:9" x14ac:dyDescent="0.35">
      <c r="A72" s="60">
        <v>1</v>
      </c>
      <c r="B72" s="54" t="s">
        <v>3</v>
      </c>
      <c r="C72" s="34">
        <v>3223.5839999999998</v>
      </c>
      <c r="E72" s="86">
        <f>C72-$D$66</f>
        <v>-1030.169288135593</v>
      </c>
      <c r="H72">
        <f>POWER(Tabla13[[#This Row],[Y atarsada un periodo Y t-22]],2)</f>
        <v>1061248.7622177943</v>
      </c>
      <c r="I72">
        <f>Tabla13[[#This Row],[Y atarsada un periodo Y t-22]]*Tabla13[[#This Row],[(Yt-1 -Ȳ)2]]</f>
        <v>-1093265881.9086843</v>
      </c>
    </row>
    <row r="73" spans="1:9" x14ac:dyDescent="0.35">
      <c r="A73" s="61">
        <v>2</v>
      </c>
      <c r="B73" s="55" t="s">
        <v>4</v>
      </c>
      <c r="C73" s="50">
        <v>3472.9369999999999</v>
      </c>
      <c r="E73" s="72">
        <f t="shared" ref="E73:E130" si="11">C73-$D$66</f>
        <v>-780.81628813559291</v>
      </c>
      <c r="H73">
        <f>POWER(Tabla13[[#This Row],[Y atarsada un periodo Y t-22]],2)</f>
        <v>609674.0758178453</v>
      </c>
      <c r="I73">
        <f>Tabla13[[#This Row],[Y atarsada un periodo Y t-22]]*Tabla13[[#This Row],[(Yt-1 -Ȳ)2]]</f>
        <v>-476043448.852588</v>
      </c>
    </row>
    <row r="74" spans="1:9" x14ac:dyDescent="0.35">
      <c r="A74" s="60">
        <v>3</v>
      </c>
      <c r="B74" s="54" t="s">
        <v>5</v>
      </c>
      <c r="C74" s="34">
        <v>3369.4650000000001</v>
      </c>
      <c r="D74">
        <f>C72</f>
        <v>3223.5839999999998</v>
      </c>
      <c r="E74" s="72">
        <f t="shared" si="11"/>
        <v>-884.28828813559267</v>
      </c>
      <c r="F74" s="72">
        <f>E72</f>
        <v>-1030.169288135593</v>
      </c>
      <c r="H74">
        <f>POWER(Tabla13[[#This Row],[Y atarsada un periodo Y t-22]],2)</f>
        <v>781965.77653377701</v>
      </c>
      <c r="I74">
        <f>Tabla13[[#This Row],[Y atarsada un periodo Y t-22]]*Tabla13[[#This Row],[(Yt-1 -Ȳ)2]]</f>
        <v>-691483177.91167307</v>
      </c>
    </row>
    <row r="75" spans="1:9" x14ac:dyDescent="0.35">
      <c r="A75" s="61">
        <v>4</v>
      </c>
      <c r="B75" s="55" t="s">
        <v>6</v>
      </c>
      <c r="C75" s="50">
        <v>3601.0940000000001</v>
      </c>
      <c r="D75">
        <f t="shared" ref="D75:D130" si="12">C73</f>
        <v>3472.9369999999999</v>
      </c>
      <c r="E75" s="72">
        <f t="shared" si="11"/>
        <v>-652.65928813559276</v>
      </c>
      <c r="F75" s="72">
        <f t="shared" ref="F75:F130" si="13">E73</f>
        <v>-780.81628813559291</v>
      </c>
      <c r="H75">
        <f>POWER(Tabla13[[#This Row],[Y atarsada un periodo Y t-22]],2)</f>
        <v>425964.14638965868</v>
      </c>
      <c r="I75">
        <f>Tabla13[[#This Row],[Y atarsada un periodo Y t-22]]*Tabla13[[#This Row],[(Yt-1 -Ȳ)2]]</f>
        <v>-278009456.55396008</v>
      </c>
    </row>
    <row r="76" spans="1:9" x14ac:dyDescent="0.35">
      <c r="A76" s="60">
        <v>5</v>
      </c>
      <c r="B76" s="54" t="s">
        <v>7</v>
      </c>
      <c r="C76" s="34">
        <v>3627.9300000000003</v>
      </c>
      <c r="D76">
        <f t="shared" si="12"/>
        <v>3369.4650000000001</v>
      </c>
      <c r="E76" s="72">
        <f t="shared" si="11"/>
        <v>-625.82328813559252</v>
      </c>
      <c r="F76" s="72">
        <f t="shared" si="13"/>
        <v>-884.28828813559267</v>
      </c>
      <c r="H76">
        <f>POWER(Tabla13[[#This Row],[Y atarsada un periodo Y t-22]],2)</f>
        <v>391654.78797284485</v>
      </c>
      <c r="I76">
        <f>Tabla13[[#This Row],[Y atarsada un periodo Y t-22]]*Tabla13[[#This Row],[(Yt-1 -Ȳ)2]]</f>
        <v>-245106687.22321409</v>
      </c>
    </row>
    <row r="77" spans="1:9" x14ac:dyDescent="0.35">
      <c r="A77" s="61">
        <v>6</v>
      </c>
      <c r="B77" s="55" t="s">
        <v>8</v>
      </c>
      <c r="C77" s="50">
        <v>3789.5219999999999</v>
      </c>
      <c r="D77">
        <f t="shared" si="12"/>
        <v>3601.0940000000001</v>
      </c>
      <c r="E77" s="72">
        <f t="shared" si="11"/>
        <v>-464.23128813559288</v>
      </c>
      <c r="F77" s="72">
        <f t="shared" si="13"/>
        <v>-652.65928813559276</v>
      </c>
      <c r="H77">
        <f>POWER(Tabla13[[#This Row],[Y atarsada un periodo Y t-22]],2)</f>
        <v>215510.68888403184</v>
      </c>
      <c r="I77">
        <f>Tabla13[[#This Row],[Y atarsada un periodo Y t-22]]*Tabla13[[#This Row],[(Yt-1 -Ȳ)2]]</f>
        <v>-100046804.70762309</v>
      </c>
    </row>
    <row r="78" spans="1:9" x14ac:dyDescent="0.35">
      <c r="A78" s="60">
        <v>7</v>
      </c>
      <c r="B78" s="54" t="s">
        <v>9</v>
      </c>
      <c r="C78" s="34">
        <v>3793.3879999999999</v>
      </c>
      <c r="D78">
        <f t="shared" si="12"/>
        <v>3627.9300000000003</v>
      </c>
      <c r="E78" s="72">
        <f t="shared" si="11"/>
        <v>-460.36528813559289</v>
      </c>
      <c r="F78" s="72">
        <f t="shared" si="13"/>
        <v>-625.82328813559252</v>
      </c>
      <c r="H78">
        <f>POWER(Tabla13[[#This Row],[Y atarsada un periodo Y t-22]],2)</f>
        <v>211936.19852016747</v>
      </c>
      <c r="I78">
        <f>Tabla13[[#This Row],[Y atarsada un periodo Y t-22]]*Tabla13[[#This Row],[(Yt-1 -Ȳ)2]]</f>
        <v>-97568069.098099113</v>
      </c>
    </row>
    <row r="79" spans="1:9" x14ac:dyDescent="0.35">
      <c r="A79" s="61">
        <v>8</v>
      </c>
      <c r="B79" s="55" t="s">
        <v>10</v>
      </c>
      <c r="C79" s="50">
        <v>3092.6509999999998</v>
      </c>
      <c r="D79">
        <f t="shared" si="12"/>
        <v>3789.5219999999999</v>
      </c>
      <c r="E79" s="72">
        <f t="shared" si="11"/>
        <v>-1161.102288135593</v>
      </c>
      <c r="F79" s="72">
        <f t="shared" si="13"/>
        <v>-464.23128813559288</v>
      </c>
      <c r="H79">
        <f>POWER(Tabla13[[#This Row],[Y atarsada un periodo Y t-22]],2)</f>
        <v>1348158.5235137097</v>
      </c>
      <c r="I79">
        <f>Tabla13[[#This Row],[Y atarsada un periodo Y t-22]]*Tabla13[[#This Row],[(Yt-1 -Ȳ)2]]</f>
        <v>-1565349946.4212708</v>
      </c>
    </row>
    <row r="80" spans="1:9" x14ac:dyDescent="0.35">
      <c r="A80" s="60">
        <v>9</v>
      </c>
      <c r="B80" s="54" t="s">
        <v>11</v>
      </c>
      <c r="C80" s="34">
        <v>3167.471</v>
      </c>
      <c r="D80">
        <f t="shared" si="12"/>
        <v>3793.3879999999999</v>
      </c>
      <c r="E80" s="72">
        <f t="shared" si="11"/>
        <v>-1086.2822881355928</v>
      </c>
      <c r="F80" s="72">
        <f t="shared" si="13"/>
        <v>-460.36528813559289</v>
      </c>
      <c r="H80">
        <f>POWER(Tabla13[[#This Row],[Y atarsada un periodo Y t-22]],2)</f>
        <v>1180009.209517099</v>
      </c>
      <c r="I80">
        <f>Tabla13[[#This Row],[Y atarsada un periodo Y t-22]]*Tabla13[[#This Row],[(Yt-1 -Ȳ)2]]</f>
        <v>-1281823104.1353064</v>
      </c>
    </row>
    <row r="81" spans="1:9" x14ac:dyDescent="0.35">
      <c r="A81" s="61">
        <v>10</v>
      </c>
      <c r="B81" s="55" t="s">
        <v>12</v>
      </c>
      <c r="C81" s="50">
        <v>3291.1210000000001</v>
      </c>
      <c r="D81">
        <f t="shared" si="12"/>
        <v>3092.6509999999998</v>
      </c>
      <c r="E81" s="72">
        <f t="shared" si="11"/>
        <v>-962.63228813559272</v>
      </c>
      <c r="F81" s="72">
        <f t="shared" si="13"/>
        <v>-1161.102288135593</v>
      </c>
      <c r="H81">
        <f>POWER(Tabla13[[#This Row],[Y atarsada un periodo Y t-22]],2)</f>
        <v>926660.92216116679</v>
      </c>
      <c r="I81">
        <f>Tabla13[[#This Row],[Y atarsada un periodo Y t-22]]*Tabla13[[#This Row],[(Yt-1 -Ȳ)2]]</f>
        <v>-892033723.82584238</v>
      </c>
    </row>
    <row r="82" spans="1:9" x14ac:dyDescent="0.35">
      <c r="A82" s="60">
        <v>11</v>
      </c>
      <c r="B82" s="54" t="s">
        <v>13</v>
      </c>
      <c r="C82" s="34">
        <v>3312.029</v>
      </c>
      <c r="D82">
        <f t="shared" si="12"/>
        <v>3167.471</v>
      </c>
      <c r="E82" s="72">
        <f t="shared" si="11"/>
        <v>-941.72428813559281</v>
      </c>
      <c r="F82" s="72">
        <f t="shared" si="13"/>
        <v>-1086.2822881355928</v>
      </c>
      <c r="H82">
        <f>POWER(Tabla13[[#This Row],[Y atarsada un periodo Y t-22]],2)</f>
        <v>886844.63486448908</v>
      </c>
      <c r="I82">
        <f>Tabla13[[#This Row],[Y atarsada un periodo Y t-22]]*Tabla13[[#This Row],[(Yt-1 -Ȳ)2]]</f>
        <v>-835163132.45463073</v>
      </c>
    </row>
    <row r="83" spans="1:9" x14ac:dyDescent="0.35">
      <c r="A83" s="61">
        <v>12</v>
      </c>
      <c r="B83" s="55" t="s">
        <v>14</v>
      </c>
      <c r="C83" s="50">
        <v>2360.7350000000001</v>
      </c>
      <c r="D83">
        <f t="shared" si="12"/>
        <v>3291.1210000000001</v>
      </c>
      <c r="E83" s="72">
        <f t="shared" si="11"/>
        <v>-1893.0182881355927</v>
      </c>
      <c r="F83" s="72">
        <f t="shared" si="13"/>
        <v>-962.63228813559272</v>
      </c>
      <c r="H83">
        <f>POWER(Tabla13[[#This Row],[Y atarsada un periodo Y t-22]],2)</f>
        <v>3583518.2392158099</v>
      </c>
      <c r="I83">
        <f>Tabla13[[#This Row],[Y atarsada un periodo Y t-22]]*Tabla13[[#This Row],[(Yt-1 -Ȳ)2]]</f>
        <v>-6783665562.7029858</v>
      </c>
    </row>
    <row r="84" spans="1:9" x14ac:dyDescent="0.35">
      <c r="A84" s="60">
        <v>13</v>
      </c>
      <c r="B84" s="54" t="s">
        <v>15</v>
      </c>
      <c r="C84" s="34">
        <v>2895.9360000000001</v>
      </c>
      <c r="D84">
        <f t="shared" si="12"/>
        <v>3312.029</v>
      </c>
      <c r="E84" s="72">
        <f t="shared" si="11"/>
        <v>-1357.8172881355927</v>
      </c>
      <c r="F84" s="72">
        <f t="shared" si="13"/>
        <v>-941.72428813559281</v>
      </c>
      <c r="H84">
        <f>POWER(Tabla13[[#This Row],[Y atarsada un periodo Y t-22]],2)</f>
        <v>1843667.7879598951</v>
      </c>
      <c r="I84">
        <f>Tabla13[[#This Row],[Y atarsada un periodo Y t-22]]*Tabla13[[#This Row],[(Yt-1 -Ȳ)2]]</f>
        <v>-2503363996.0706515</v>
      </c>
    </row>
    <row r="85" spans="1:9" x14ac:dyDescent="0.35">
      <c r="A85" s="61">
        <v>14</v>
      </c>
      <c r="B85" s="55" t="s">
        <v>16</v>
      </c>
      <c r="C85" s="50">
        <v>3115.0299999999997</v>
      </c>
      <c r="D85">
        <f t="shared" si="12"/>
        <v>2360.7350000000001</v>
      </c>
      <c r="E85" s="72">
        <f t="shared" si="11"/>
        <v>-1138.7232881355931</v>
      </c>
      <c r="F85" s="72">
        <f t="shared" si="13"/>
        <v>-1893.0182881355927</v>
      </c>
      <c r="H85">
        <f>POWER(Tabla13[[#This Row],[Y atarsada un periodo Y t-22]],2)</f>
        <v>1296690.7269423369</v>
      </c>
      <c r="I85">
        <f>Tabla13[[#This Row],[Y atarsada un periodo Y t-22]]*Tabla13[[#This Row],[(Yt-1 -Ȳ)2]]</f>
        <v>-1476571928.2787104</v>
      </c>
    </row>
    <row r="86" spans="1:9" x14ac:dyDescent="0.35">
      <c r="A86" s="60">
        <v>15</v>
      </c>
      <c r="B86" s="54" t="s">
        <v>17</v>
      </c>
      <c r="C86" s="34">
        <v>4035.8679999999999</v>
      </c>
      <c r="D86">
        <f t="shared" si="12"/>
        <v>2895.9360000000001</v>
      </c>
      <c r="E86" s="72">
        <f t="shared" si="11"/>
        <v>-217.88528813559287</v>
      </c>
      <c r="F86" s="72">
        <f t="shared" si="13"/>
        <v>-1357.8172881355927</v>
      </c>
      <c r="H86">
        <f>POWER(Tabla13[[#This Row],[Y atarsada un periodo Y t-22]],2)</f>
        <v>47473.998785930329</v>
      </c>
      <c r="I86">
        <f>Tabla13[[#This Row],[Y atarsada un periodo Y t-22]]*Tabla13[[#This Row],[(Yt-1 -Ȳ)2]]</f>
        <v>-10343885.904421216</v>
      </c>
    </row>
    <row r="87" spans="1:9" x14ac:dyDescent="0.35">
      <c r="A87" s="61">
        <v>16</v>
      </c>
      <c r="B87" s="55" t="s">
        <v>18</v>
      </c>
      <c r="C87" s="50">
        <v>2831.4769999999999</v>
      </c>
      <c r="D87">
        <f t="shared" si="12"/>
        <v>3115.0299999999997</v>
      </c>
      <c r="E87" s="72">
        <f t="shared" si="11"/>
        <v>-1422.2762881355929</v>
      </c>
      <c r="F87" s="72">
        <f t="shared" si="13"/>
        <v>-1138.7232881355931</v>
      </c>
      <c r="H87">
        <f>POWER(Tabla13[[#This Row],[Y atarsada un periodo Y t-22]],2)</f>
        <v>2022869.8397927603</v>
      </c>
      <c r="I87">
        <f>Tabla13[[#This Row],[Y atarsada un periodo Y t-22]]*Tabla13[[#This Row],[(Yt-1 -Ȳ)2]]</f>
        <v>-2877079807.1218886</v>
      </c>
    </row>
    <row r="88" spans="1:9" x14ac:dyDescent="0.35">
      <c r="A88" s="60">
        <v>17</v>
      </c>
      <c r="B88" s="54" t="s">
        <v>19</v>
      </c>
      <c r="C88" s="34">
        <v>3900.4079999999999</v>
      </c>
      <c r="D88">
        <f t="shared" si="12"/>
        <v>4035.8679999999999</v>
      </c>
      <c r="E88" s="72">
        <f t="shared" si="11"/>
        <v>-353.34528813559291</v>
      </c>
      <c r="F88" s="72">
        <f t="shared" si="13"/>
        <v>-217.88528813559287</v>
      </c>
      <c r="H88">
        <f>POWER(Tabla13[[#This Row],[Y atarsada un periodo Y t-22]],2)</f>
        <v>124852.89264762518</v>
      </c>
      <c r="I88">
        <f>Tabla13[[#This Row],[Y atarsada un periodo Y t-22]]*Tabla13[[#This Row],[(Yt-1 -Ȳ)2]]</f>
        <v>-44116181.327137366</v>
      </c>
    </row>
    <row r="89" spans="1:9" x14ac:dyDescent="0.35">
      <c r="A89" s="61">
        <v>18</v>
      </c>
      <c r="B89" s="55" t="s">
        <v>20</v>
      </c>
      <c r="C89" s="50">
        <v>3016.83</v>
      </c>
      <c r="D89">
        <f t="shared" si="12"/>
        <v>2831.4769999999999</v>
      </c>
      <c r="E89" s="72">
        <f t="shared" si="11"/>
        <v>-1236.9232881355929</v>
      </c>
      <c r="F89" s="72">
        <f t="shared" si="13"/>
        <v>-1422.2762881355929</v>
      </c>
      <c r="H89">
        <f>POWER(Tabla13[[#This Row],[Y atarsada un periodo Y t-22]],2)</f>
        <v>1529979.2207321669</v>
      </c>
      <c r="I89">
        <f>Tabla13[[#This Row],[Y atarsada un periodo Y t-22]]*Tabla13[[#This Row],[(Yt-1 -Ȳ)2]]</f>
        <v>-1892466928.487164</v>
      </c>
    </row>
    <row r="90" spans="1:9" x14ac:dyDescent="0.35">
      <c r="A90" s="60">
        <v>19</v>
      </c>
      <c r="B90" s="54" t="s">
        <v>21</v>
      </c>
      <c r="C90" s="34">
        <v>4165.1149999999998</v>
      </c>
      <c r="D90">
        <f t="shared" si="12"/>
        <v>3900.4079999999999</v>
      </c>
      <c r="E90" s="72">
        <f t="shared" si="11"/>
        <v>-88.638288135593029</v>
      </c>
      <c r="F90" s="72">
        <f t="shared" si="13"/>
        <v>-353.34528813559291</v>
      </c>
      <c r="H90">
        <f>POWER(Tabla13[[#This Row],[Y atarsada un periodo Y t-22]],2)</f>
        <v>7856.7461236084118</v>
      </c>
      <c r="I90">
        <f>Tabla13[[#This Row],[Y atarsada un periodo Y t-22]]*Tabla13[[#This Row],[(Yt-1 -Ȳ)2]]</f>
        <v>-696408.52671260596</v>
      </c>
    </row>
    <row r="91" spans="1:9" x14ac:dyDescent="0.35">
      <c r="A91" s="61">
        <v>20</v>
      </c>
      <c r="B91" s="55" t="s">
        <v>22</v>
      </c>
      <c r="C91" s="50">
        <v>2911.9210000000003</v>
      </c>
      <c r="D91">
        <f t="shared" si="12"/>
        <v>3016.83</v>
      </c>
      <c r="E91" s="72">
        <f t="shared" si="11"/>
        <v>-1341.8322881355925</v>
      </c>
      <c r="F91" s="72">
        <f t="shared" si="13"/>
        <v>-1236.9232881355929</v>
      </c>
      <c r="H91">
        <f>POWER(Tabla13[[#This Row],[Y atarsada un periodo Y t-22]],2)</f>
        <v>1800513.8894831999</v>
      </c>
      <c r="I91">
        <f>Tabla13[[#This Row],[Y atarsada un periodo Y t-22]]*Tabla13[[#This Row],[(Yt-1 -Ȳ)2]]</f>
        <v>-2415987672.1451573</v>
      </c>
    </row>
    <row r="92" spans="1:9" x14ac:dyDescent="0.35">
      <c r="A92" s="60">
        <v>21</v>
      </c>
      <c r="B92" s="54" t="s">
        <v>23</v>
      </c>
      <c r="C92" s="34">
        <v>3185.0740000000001</v>
      </c>
      <c r="D92">
        <f t="shared" si="12"/>
        <v>4165.1149999999998</v>
      </c>
      <c r="E92" s="72">
        <f t="shared" si="11"/>
        <v>-1068.6792881355927</v>
      </c>
      <c r="F92" s="72">
        <f t="shared" si="13"/>
        <v>-88.638288135593029</v>
      </c>
      <c r="H92">
        <f>POWER(Tabla13[[#This Row],[Y atarsada un periodo Y t-22]],2)</f>
        <v>1142075.4208899972</v>
      </c>
      <c r="I92">
        <f>Tabla13[[#This Row],[Y atarsada un periodo Y t-22]]*Tabla13[[#This Row],[(Yt-1 -Ȳ)2]]</f>
        <v>-1220512347.7938795</v>
      </c>
    </row>
    <row r="93" spans="1:9" x14ac:dyDescent="0.35">
      <c r="A93" s="61">
        <v>22</v>
      </c>
      <c r="B93" s="55" t="s">
        <v>24</v>
      </c>
      <c r="C93" s="50">
        <v>3265.3599999999997</v>
      </c>
      <c r="D93">
        <f t="shared" si="12"/>
        <v>2911.9210000000003</v>
      </c>
      <c r="E93" s="72">
        <f t="shared" si="11"/>
        <v>-988.39328813559314</v>
      </c>
      <c r="F93" s="72">
        <f t="shared" si="13"/>
        <v>-1341.8322881355925</v>
      </c>
      <c r="H93">
        <f>POWER(Tabla13[[#This Row],[Y atarsada un periodo Y t-22]],2)</f>
        <v>976921.29203148966</v>
      </c>
      <c r="I93">
        <f>Tabla13[[#This Row],[Y atarsada un periodo Y t-22]]*Tabla13[[#This Row],[(Yt-1 -Ȳ)2]]</f>
        <v>-965582448.08067608</v>
      </c>
    </row>
    <row r="94" spans="1:9" x14ac:dyDescent="0.35">
      <c r="A94" s="60">
        <v>23</v>
      </c>
      <c r="B94" s="54" t="s">
        <v>25</v>
      </c>
      <c r="C94" s="34">
        <v>4256.2119999999995</v>
      </c>
      <c r="D94">
        <f t="shared" si="12"/>
        <v>3185.0740000000001</v>
      </c>
      <c r="E94" s="72">
        <f t="shared" si="11"/>
        <v>2.4587118644067232</v>
      </c>
      <c r="F94" s="72">
        <f t="shared" si="13"/>
        <v>-1068.6792881355927</v>
      </c>
      <c r="H94">
        <f>POWER(Tabla13[[#This Row],[Y atarsada un periodo Y t-22]],2)</f>
        <v>6.0452640321743845</v>
      </c>
      <c r="I94">
        <f>Tabla13[[#This Row],[Y atarsada un periodo Y t-22]]*Tabla13[[#This Row],[(Yt-1 -Ȳ)2]]</f>
        <v>14.863562399378386</v>
      </c>
    </row>
    <row r="95" spans="1:9" x14ac:dyDescent="0.35">
      <c r="A95" s="61">
        <v>24</v>
      </c>
      <c r="B95" s="55" t="s">
        <v>26</v>
      </c>
      <c r="C95" s="50">
        <v>3411.14</v>
      </c>
      <c r="D95">
        <f t="shared" si="12"/>
        <v>3265.3599999999997</v>
      </c>
      <c r="E95" s="72">
        <f t="shared" si="11"/>
        <v>-842.61328813559294</v>
      </c>
      <c r="F95" s="72">
        <f t="shared" si="13"/>
        <v>-988.39328813559314</v>
      </c>
      <c r="H95">
        <f>POWER(Tabla13[[#This Row],[Y atarsada un periodo Y t-22]],2)</f>
        <v>709997.15334267577</v>
      </c>
      <c r="I95">
        <f>Tabla13[[#This Row],[Y atarsada un periodo Y t-22]]*Tabla13[[#This Row],[(Yt-1 -Ȳ)2]]</f>
        <v>-598253035.94498277</v>
      </c>
    </row>
    <row r="96" spans="1:9" x14ac:dyDescent="0.35">
      <c r="A96" s="60">
        <v>25</v>
      </c>
      <c r="B96" s="54" t="s">
        <v>27</v>
      </c>
      <c r="C96" s="34">
        <v>3494.1019999999999</v>
      </c>
      <c r="D96">
        <f t="shared" si="12"/>
        <v>4256.2119999999995</v>
      </c>
      <c r="E96" s="72">
        <f t="shared" si="11"/>
        <v>-759.65128813559295</v>
      </c>
      <c r="F96" s="72">
        <f t="shared" si="13"/>
        <v>2.4587118644067232</v>
      </c>
      <c r="H96">
        <f>POWER(Tabla13[[#This Row],[Y atarsada un periodo Y t-22]],2)</f>
        <v>577070.07956606569</v>
      </c>
      <c r="I96">
        <f>Tabla13[[#This Row],[Y atarsada un periodo Y t-22]]*Tabla13[[#This Row],[(Yt-1 -Ȳ)2]]</f>
        <v>-438372029.2868709</v>
      </c>
    </row>
    <row r="97" spans="1:9" x14ac:dyDescent="0.35">
      <c r="A97" s="61">
        <v>26</v>
      </c>
      <c r="B97" s="55" t="s">
        <v>28</v>
      </c>
      <c r="C97" s="50">
        <v>3692.1639999999998</v>
      </c>
      <c r="D97">
        <f t="shared" si="12"/>
        <v>3411.14</v>
      </c>
      <c r="E97" s="72">
        <f t="shared" si="11"/>
        <v>-561.58928813559305</v>
      </c>
      <c r="F97" s="72">
        <f t="shared" si="13"/>
        <v>-842.61328813559294</v>
      </c>
      <c r="H97">
        <f>POWER(Tabla13[[#This Row],[Y atarsada un periodo Y t-22]],2)</f>
        <v>315382.52854864218</v>
      </c>
      <c r="I97">
        <f>Tabla13[[#This Row],[Y atarsada un periodo Y t-22]]*Tabla13[[#This Row],[(Yt-1 -Ȳ)2]]</f>
        <v>-177115449.6980353</v>
      </c>
    </row>
    <row r="98" spans="1:9" x14ac:dyDescent="0.35">
      <c r="A98" s="60">
        <v>27</v>
      </c>
      <c r="B98" s="54" t="s">
        <v>29</v>
      </c>
      <c r="C98" s="34">
        <v>3714.1660000000002</v>
      </c>
      <c r="D98">
        <f t="shared" si="12"/>
        <v>3494.1019999999999</v>
      </c>
      <c r="E98" s="72">
        <f t="shared" si="11"/>
        <v>-539.58728813559264</v>
      </c>
      <c r="F98" s="72">
        <f t="shared" si="13"/>
        <v>-759.65128813559295</v>
      </c>
      <c r="H98">
        <f>POWER(Tabla13[[#This Row],[Y atarsada un periodo Y t-22]],2)</f>
        <v>291154.44151752308</v>
      </c>
      <c r="I98">
        <f>Tabla13[[#This Row],[Y atarsada un periodo Y t-22]]*Tabla13[[#This Row],[(Yt-1 -Ȳ)2]]</f>
        <v>-157103235.52707329</v>
      </c>
    </row>
    <row r="99" spans="1:9" x14ac:dyDescent="0.35">
      <c r="A99" s="61">
        <v>28</v>
      </c>
      <c r="B99" s="55" t="s">
        <v>30</v>
      </c>
      <c r="C99" s="50">
        <v>3807.252</v>
      </c>
      <c r="D99">
        <f t="shared" si="12"/>
        <v>3692.1639999999998</v>
      </c>
      <c r="E99" s="72">
        <f t="shared" si="11"/>
        <v>-446.50128813559286</v>
      </c>
      <c r="F99" s="72">
        <f t="shared" si="13"/>
        <v>-561.58928813559305</v>
      </c>
      <c r="H99">
        <f>POWER(Tabla13[[#This Row],[Y atarsada un periodo Y t-22]],2)</f>
        <v>199363.40030674372</v>
      </c>
      <c r="I99">
        <f>Tabla13[[#This Row],[Y atarsada un periodo Y t-22]]*Tabla13[[#This Row],[(Yt-1 -Ȳ)2]]</f>
        <v>-89016015.044052914</v>
      </c>
    </row>
    <row r="100" spans="1:9" x14ac:dyDescent="0.35">
      <c r="A100" s="60">
        <v>29</v>
      </c>
      <c r="B100" s="54" t="s">
        <v>31</v>
      </c>
      <c r="C100" s="34">
        <v>3889.8969999999999</v>
      </c>
      <c r="D100">
        <f t="shared" si="12"/>
        <v>3714.1660000000002</v>
      </c>
      <c r="E100" s="72">
        <f t="shared" si="11"/>
        <v>-363.85628813559288</v>
      </c>
      <c r="F100" s="72">
        <f t="shared" si="13"/>
        <v>-539.58728813559264</v>
      </c>
      <c r="H100">
        <f>POWER(Tabla13[[#This Row],[Y atarsada un periodo Y t-22]],2)</f>
        <v>132391.39841581159</v>
      </c>
      <c r="I100">
        <f>Tabla13[[#This Row],[Y atarsada un periodo Y t-22]]*Tabla13[[#This Row],[(Yt-1 -Ȳ)2]]</f>
        <v>-48171442.808657616</v>
      </c>
    </row>
    <row r="101" spans="1:9" x14ac:dyDescent="0.35">
      <c r="A101" s="61">
        <v>30</v>
      </c>
      <c r="B101" s="55" t="s">
        <v>32</v>
      </c>
      <c r="C101" s="50">
        <v>4010.0519999999997</v>
      </c>
      <c r="D101">
        <f t="shared" si="12"/>
        <v>3807.252</v>
      </c>
      <c r="E101" s="72">
        <f t="shared" si="11"/>
        <v>-243.70128813559313</v>
      </c>
      <c r="F101" s="72">
        <f t="shared" si="13"/>
        <v>-446.50128813559286</v>
      </c>
      <c r="H101">
        <f>POWER(Tabla13[[#This Row],[Y atarsada un periodo Y t-22]],2)</f>
        <v>59390.317838947383</v>
      </c>
      <c r="I101">
        <f>Tabla13[[#This Row],[Y atarsada un periodo Y t-22]]*Tabla13[[#This Row],[(Yt-1 -Ȳ)2]]</f>
        <v>-14473496.960133772</v>
      </c>
    </row>
    <row r="102" spans="1:9" x14ac:dyDescent="0.35">
      <c r="A102" s="60">
        <v>31</v>
      </c>
      <c r="B102" s="54" t="s">
        <v>33</v>
      </c>
      <c r="C102" s="34">
        <v>3947.6409999999996</v>
      </c>
      <c r="D102">
        <f t="shared" si="12"/>
        <v>3889.8969999999999</v>
      </c>
      <c r="E102" s="72">
        <f t="shared" si="11"/>
        <v>-306.11228813559319</v>
      </c>
      <c r="F102" s="72">
        <f t="shared" si="13"/>
        <v>-363.85628813559288</v>
      </c>
      <c r="H102">
        <f>POWER(Tabla13[[#This Row],[Y atarsada un periodo Y t-22]],2)</f>
        <v>93704.732947608427</v>
      </c>
      <c r="I102">
        <f>Tabla13[[#This Row],[Y atarsada un periodo Y t-22]]*Tabla13[[#This Row],[(Yt-1 -Ȳ)2]]</f>
        <v>-28684170.211727124</v>
      </c>
    </row>
    <row r="103" spans="1:9" x14ac:dyDescent="0.35">
      <c r="A103" s="61">
        <v>32</v>
      </c>
      <c r="B103" s="55" t="s">
        <v>34</v>
      </c>
      <c r="C103" s="50">
        <v>4314.2849999999999</v>
      </c>
      <c r="D103">
        <f t="shared" si="12"/>
        <v>4010.0519999999997</v>
      </c>
      <c r="E103" s="72">
        <f t="shared" si="11"/>
        <v>60.531711864407043</v>
      </c>
      <c r="F103" s="72">
        <f t="shared" si="13"/>
        <v>-243.70128813559313</v>
      </c>
      <c r="H103">
        <f>POWER(Tabla13[[#This Row],[Y atarsada un periodo Y t-22]],2)</f>
        <v>3664.0881412355966</v>
      </c>
      <c r="I103">
        <f>Tabla13[[#This Row],[Y atarsada un periodo Y t-22]]*Tabla13[[#This Row],[(Yt-1 -Ȳ)2]]</f>
        <v>221793.52761106391</v>
      </c>
    </row>
    <row r="104" spans="1:9" x14ac:dyDescent="0.35">
      <c r="A104" s="60">
        <v>33</v>
      </c>
      <c r="B104" s="54" t="s">
        <v>35</v>
      </c>
      <c r="C104" s="34">
        <v>4375.1080000000002</v>
      </c>
      <c r="D104">
        <f t="shared" si="12"/>
        <v>3947.6409999999996</v>
      </c>
      <c r="E104" s="72">
        <f t="shared" si="11"/>
        <v>121.35471186440736</v>
      </c>
      <c r="F104" s="72">
        <f t="shared" si="13"/>
        <v>-306.11228813559319</v>
      </c>
      <c r="H104">
        <f>POWER(Tabla13[[#This Row],[Y atarsada un periodo Y t-22]],2)</f>
        <v>14726.966091693334</v>
      </c>
      <c r="I104">
        <f>Tabla13[[#This Row],[Y atarsada un periodo Y t-22]]*Tabla13[[#This Row],[(Yt-1 -Ȳ)2]]</f>
        <v>1787186.726694342</v>
      </c>
    </row>
    <row r="105" spans="1:9" x14ac:dyDescent="0.35">
      <c r="A105" s="61">
        <v>34</v>
      </c>
      <c r="B105" s="55" t="s">
        <v>36</v>
      </c>
      <c r="C105" s="50">
        <v>4398.5460000000003</v>
      </c>
      <c r="D105">
        <f t="shared" si="12"/>
        <v>4314.2849999999999</v>
      </c>
      <c r="E105" s="72">
        <f t="shared" si="11"/>
        <v>144.79271186440747</v>
      </c>
      <c r="F105" s="72">
        <f t="shared" si="13"/>
        <v>60.531711864407043</v>
      </c>
      <c r="H105">
        <f>POWER(Tabla13[[#This Row],[Y atarsada un periodo Y t-22]],2)</f>
        <v>20964.929409049324</v>
      </c>
      <c r="I105">
        <f>Tabla13[[#This Row],[Y atarsada un periodo Y t-22]]*Tabla13[[#This Row],[(Yt-1 -Ȳ)2]]</f>
        <v>3035568.9831821211</v>
      </c>
    </row>
    <row r="106" spans="1:9" x14ac:dyDescent="0.35">
      <c r="A106" s="60">
        <v>35</v>
      </c>
      <c r="B106" s="54" t="s">
        <v>37</v>
      </c>
      <c r="C106" s="34">
        <v>4257.6869999999999</v>
      </c>
      <c r="D106">
        <f t="shared" si="12"/>
        <v>4375.1080000000002</v>
      </c>
      <c r="E106" s="72">
        <f t="shared" si="11"/>
        <v>3.933711864407087</v>
      </c>
      <c r="F106" s="72">
        <f t="shared" si="13"/>
        <v>121.35471186440736</v>
      </c>
      <c r="H106">
        <f>POWER(Tabla13[[#This Row],[Y atarsada un periodo Y t-22]],2)</f>
        <v>15.47408903217708</v>
      </c>
      <c r="I106">
        <f>Tabla13[[#This Row],[Y atarsada un periodo Y t-22]]*Tabla13[[#This Row],[(Yt-1 -Ȳ)2]]</f>
        <v>60.870607616766556</v>
      </c>
    </row>
    <row r="107" spans="1:9" x14ac:dyDescent="0.35">
      <c r="A107" s="61">
        <v>36</v>
      </c>
      <c r="B107" s="55" t="s">
        <v>38</v>
      </c>
      <c r="C107" s="50">
        <v>4518.3440000000001</v>
      </c>
      <c r="D107">
        <f t="shared" si="12"/>
        <v>4398.5460000000003</v>
      </c>
      <c r="E107" s="72">
        <f t="shared" si="11"/>
        <v>264.59071186440724</v>
      </c>
      <c r="F107" s="72">
        <f t="shared" si="13"/>
        <v>144.79271186440747</v>
      </c>
      <c r="H107">
        <f>POWER(Tabla13[[#This Row],[Y atarsada un periodo Y t-22]],2)</f>
        <v>70008.244804913775</v>
      </c>
      <c r="I107">
        <f>Tabla13[[#This Row],[Y atarsada un periodo Y t-22]]*Tabla13[[#This Row],[(Yt-1 -Ȳ)2]]</f>
        <v>18523531.329309825</v>
      </c>
    </row>
    <row r="108" spans="1:9" x14ac:dyDescent="0.35">
      <c r="A108" s="60">
        <v>37</v>
      </c>
      <c r="B108" s="54" t="s">
        <v>39</v>
      </c>
      <c r="C108" s="34">
        <v>4358.7479999999996</v>
      </c>
      <c r="D108">
        <f t="shared" si="12"/>
        <v>4257.6869999999999</v>
      </c>
      <c r="E108" s="72">
        <f t="shared" si="11"/>
        <v>104.99471186440678</v>
      </c>
      <c r="F108" s="72">
        <f t="shared" si="13"/>
        <v>3.933711864407087</v>
      </c>
      <c r="H108">
        <f>POWER(Tabla13[[#This Row],[Y atarsada un periodo Y t-22]],2)</f>
        <v>11023.889519489801</v>
      </c>
      <c r="I108">
        <f>Tabla13[[#This Row],[Y atarsada un periodo Y t-22]]*Tabla13[[#This Row],[(Yt-1 -Ȳ)2]]</f>
        <v>1157450.1037238855</v>
      </c>
    </row>
    <row r="109" spans="1:9" x14ac:dyDescent="0.35">
      <c r="A109" s="61">
        <v>38</v>
      </c>
      <c r="B109" s="55" t="s">
        <v>40</v>
      </c>
      <c r="C109" s="50">
        <v>4560.9520000000002</v>
      </c>
      <c r="D109">
        <f t="shared" si="12"/>
        <v>4518.3440000000001</v>
      </c>
      <c r="E109" s="72">
        <f t="shared" si="11"/>
        <v>307.19871186440741</v>
      </c>
      <c r="F109" s="72">
        <f t="shared" si="13"/>
        <v>264.59071186440724</v>
      </c>
      <c r="H109">
        <f>POWER(Tabla13[[#This Row],[Y atarsada un periodo Y t-22]],2)</f>
        <v>94371.048571151216</v>
      </c>
      <c r="I109">
        <f>Tabla13[[#This Row],[Y atarsada un periodo Y t-22]]*Tabla13[[#This Row],[(Yt-1 -Ȳ)2]]</f>
        <v>28990664.558351081</v>
      </c>
    </row>
    <row r="110" spans="1:9" x14ac:dyDescent="0.35">
      <c r="A110" s="60">
        <v>39</v>
      </c>
      <c r="B110" s="54" t="s">
        <v>41</v>
      </c>
      <c r="C110" s="34">
        <v>4659.3</v>
      </c>
      <c r="D110">
        <f t="shared" si="12"/>
        <v>4358.7479999999996</v>
      </c>
      <c r="E110" s="72">
        <f t="shared" si="11"/>
        <v>405.54671186440737</v>
      </c>
      <c r="F110" s="72">
        <f t="shared" si="13"/>
        <v>104.99471186440678</v>
      </c>
      <c r="H110">
        <f>POWER(Tabla13[[#This Row],[Y atarsada un periodo Y t-22]],2)</f>
        <v>164468.13550403266</v>
      </c>
      <c r="I110">
        <f>Tabla13[[#This Row],[Y atarsada un periodo Y t-22]]*Tabla13[[#This Row],[(Yt-1 -Ȳ)2]]</f>
        <v>66699511.560130239</v>
      </c>
    </row>
    <row r="111" spans="1:9" x14ac:dyDescent="0.35">
      <c r="A111" s="61">
        <v>40</v>
      </c>
      <c r="B111" s="55" t="s">
        <v>42</v>
      </c>
      <c r="C111" s="50">
        <v>4750.366</v>
      </c>
      <c r="D111">
        <f t="shared" si="12"/>
        <v>4560.9520000000002</v>
      </c>
      <c r="E111" s="72">
        <f t="shared" si="11"/>
        <v>496.61271186440717</v>
      </c>
      <c r="F111" s="72">
        <f t="shared" si="13"/>
        <v>307.19871186440741</v>
      </c>
      <c r="H111">
        <f>POWER(Tabla13[[#This Row],[Y atarsada un periodo Y t-22]],2)</f>
        <v>246624.18558532069</v>
      </c>
      <c r="I111">
        <f>Tabla13[[#This Row],[Y atarsada un periodo Y t-22]]*Tabla13[[#This Row],[(Yt-1 -Ȳ)2]]</f>
        <v>122476705.61487694</v>
      </c>
    </row>
    <row r="112" spans="1:9" x14ac:dyDescent="0.35">
      <c r="A112" s="60">
        <v>41</v>
      </c>
      <c r="B112" s="54" t="s">
        <v>43</v>
      </c>
      <c r="C112" s="34">
        <v>4532.5</v>
      </c>
      <c r="D112">
        <f t="shared" si="12"/>
        <v>4659.3</v>
      </c>
      <c r="E112" s="72">
        <f t="shared" si="11"/>
        <v>278.74671186440719</v>
      </c>
      <c r="F112" s="72">
        <f t="shared" si="13"/>
        <v>405.54671186440737</v>
      </c>
      <c r="H112">
        <f>POWER(Tabla13[[#This Row],[Y atarsada un periodo Y t-22]],2)</f>
        <v>77699.729375218842</v>
      </c>
      <c r="I112">
        <f>Tabla13[[#This Row],[Y atarsada un periodo Y t-22]]*Tabla13[[#This Row],[(Yt-1 -Ȳ)2]]</f>
        <v>21658544.076096542</v>
      </c>
    </row>
    <row r="113" spans="1:9" x14ac:dyDescent="0.35">
      <c r="A113" s="61">
        <v>42</v>
      </c>
      <c r="B113" s="55" t="s">
        <v>44</v>
      </c>
      <c r="C113" s="50">
        <v>4794.3590000000004</v>
      </c>
      <c r="D113">
        <f t="shared" si="12"/>
        <v>4750.366</v>
      </c>
      <c r="E113" s="72">
        <f t="shared" si="11"/>
        <v>540.60571186440757</v>
      </c>
      <c r="F113" s="72">
        <f t="shared" si="13"/>
        <v>496.61271186440717</v>
      </c>
      <c r="H113">
        <f>POWER(Tabla13[[#This Row],[Y atarsada un periodo Y t-22]],2)</f>
        <v>292254.53570042283</v>
      </c>
      <c r="I113">
        <f>Tabla13[[#This Row],[Y atarsada un periodo Y t-22]]*Tabla13[[#This Row],[(Yt-1 -Ȳ)2]]</f>
        <v>157994471.317929</v>
      </c>
    </row>
    <row r="114" spans="1:9" x14ac:dyDescent="0.35">
      <c r="A114" s="60">
        <v>43</v>
      </c>
      <c r="B114" s="54" t="s">
        <v>45</v>
      </c>
      <c r="C114" s="34">
        <v>4187.83</v>
      </c>
      <c r="D114">
        <f t="shared" si="12"/>
        <v>4532.5</v>
      </c>
      <c r="E114" s="72">
        <f t="shared" si="11"/>
        <v>-65.923288135592884</v>
      </c>
      <c r="F114" s="72">
        <f t="shared" si="13"/>
        <v>278.74671186440719</v>
      </c>
      <c r="H114">
        <f>POWER(Tabla13[[#This Row],[Y atarsada un periodo Y t-22]],2)</f>
        <v>4345.8799186084016</v>
      </c>
      <c r="I114">
        <f>Tabla13[[#This Row],[Y atarsada un periodo Y t-22]]*Tabla13[[#This Row],[(Yt-1 -Ȳ)2]]</f>
        <v>-286494.69407710858</v>
      </c>
    </row>
    <row r="115" spans="1:9" x14ac:dyDescent="0.35">
      <c r="A115" s="61">
        <v>44</v>
      </c>
      <c r="B115" s="55" t="s">
        <v>46</v>
      </c>
      <c r="C115" s="50">
        <v>5120.07</v>
      </c>
      <c r="D115">
        <f t="shared" si="12"/>
        <v>4794.3590000000004</v>
      </c>
      <c r="E115" s="72">
        <f t="shared" si="11"/>
        <v>866.3167118644069</v>
      </c>
      <c r="F115" s="72">
        <f t="shared" si="13"/>
        <v>540.60571186440757</v>
      </c>
      <c r="H115">
        <f>POWER(Tabla13[[#This Row],[Y atarsada un periodo Y t-22]],2)</f>
        <v>750504.64525555784</v>
      </c>
      <c r="I115">
        <f>Tabla13[[#This Row],[Y atarsada un periodo Y t-22]]*Tabla13[[#This Row],[(Yt-1 -Ȳ)2]]</f>
        <v>650174716.51675797</v>
      </c>
    </row>
    <row r="116" spans="1:9" x14ac:dyDescent="0.35">
      <c r="A116" s="60">
        <v>45</v>
      </c>
      <c r="B116" s="54" t="s">
        <v>47</v>
      </c>
      <c r="C116" s="34">
        <v>4755.9179999999997</v>
      </c>
      <c r="D116">
        <f t="shared" si="12"/>
        <v>4187.83</v>
      </c>
      <c r="E116" s="72">
        <f t="shared" si="11"/>
        <v>502.16471186440685</v>
      </c>
      <c r="F116" s="72">
        <f t="shared" si="13"/>
        <v>-65.923288135592884</v>
      </c>
      <c r="H116">
        <f>POWER(Tabla13[[#This Row],[Y atarsada un periodo Y t-22]],2)</f>
        <v>252169.39784186275</v>
      </c>
      <c r="I116">
        <f>Tabla13[[#This Row],[Y atarsada un periodo Y t-22]]*Tabla13[[#This Row],[(Yt-1 -Ȳ)2]]</f>
        <v>126630573.00827999</v>
      </c>
    </row>
    <row r="117" spans="1:9" x14ac:dyDescent="0.35">
      <c r="A117" s="61">
        <v>46</v>
      </c>
      <c r="B117" s="55" t="s">
        <v>48</v>
      </c>
      <c r="C117" s="50">
        <v>5158.3530000000001</v>
      </c>
      <c r="D117">
        <f t="shared" si="12"/>
        <v>5120.07</v>
      </c>
      <c r="E117" s="72">
        <f t="shared" si="11"/>
        <v>904.59971186440725</v>
      </c>
      <c r="F117" s="72">
        <f t="shared" si="13"/>
        <v>866.3167118644069</v>
      </c>
      <c r="H117">
        <f>POWER(Tabla13[[#This Row],[Y atarsada un periodo Y t-22]],2)</f>
        <v>818300.63870516862</v>
      </c>
      <c r="I117">
        <f>Tabla13[[#This Row],[Y atarsada un periodo Y t-22]]*Tabla13[[#This Row],[(Yt-1 -Ȳ)2]]</f>
        <v>740234521.99115598</v>
      </c>
    </row>
    <row r="118" spans="1:9" x14ac:dyDescent="0.35">
      <c r="A118" s="60">
        <v>47</v>
      </c>
      <c r="B118" s="54" t="s">
        <v>49</v>
      </c>
      <c r="C118" s="34">
        <v>5027.1220000000003</v>
      </c>
      <c r="D118">
        <f t="shared" si="12"/>
        <v>4755.9179999999997</v>
      </c>
      <c r="E118" s="72">
        <f t="shared" si="11"/>
        <v>773.36871186440749</v>
      </c>
      <c r="F118" s="72">
        <f t="shared" si="13"/>
        <v>502.16471186440685</v>
      </c>
      <c r="H118">
        <f>POWER(Tabla13[[#This Row],[Y atarsada un periodo Y t-22]],2)</f>
        <v>598099.16449081292</v>
      </c>
      <c r="I118">
        <f>Tabla13[[#This Row],[Y atarsada un periodo Y t-22]]*Tabla13[[#This Row],[(Yt-1 -Ȳ)2]]</f>
        <v>462551180.40943837</v>
      </c>
    </row>
    <row r="119" spans="1:9" x14ac:dyDescent="0.35">
      <c r="A119" s="61">
        <v>48</v>
      </c>
      <c r="B119" s="55" t="s">
        <v>50</v>
      </c>
      <c r="C119" s="50">
        <v>5410.277</v>
      </c>
      <c r="D119">
        <f t="shared" si="12"/>
        <v>5158.3530000000001</v>
      </c>
      <c r="E119" s="72">
        <f t="shared" si="11"/>
        <v>1156.5237118644072</v>
      </c>
      <c r="F119" s="72">
        <f t="shared" si="13"/>
        <v>904.59971186440725</v>
      </c>
      <c r="H119">
        <f>POWER(Tabla13[[#This Row],[Y atarsada un periodo Y t-22]],2)</f>
        <v>1337547.0961046265</v>
      </c>
      <c r="I119">
        <f>Tabla13[[#This Row],[Y atarsada un periodo Y t-22]]*Tabla13[[#This Row],[(Yt-1 -Ȳ)2]]</f>
        <v>1546904932.3803818</v>
      </c>
    </row>
    <row r="120" spans="1:9" x14ac:dyDescent="0.35">
      <c r="A120" s="60">
        <v>49</v>
      </c>
      <c r="B120" s="54" t="s">
        <v>51</v>
      </c>
      <c r="C120" s="34">
        <v>5386.6620000000003</v>
      </c>
      <c r="D120">
        <f t="shared" si="12"/>
        <v>5027.1220000000003</v>
      </c>
      <c r="E120" s="72">
        <f t="shared" si="11"/>
        <v>1132.9087118644075</v>
      </c>
      <c r="F120" s="72">
        <f t="shared" si="13"/>
        <v>773.36871186440749</v>
      </c>
      <c r="H120">
        <f>POWER(Tabla13[[#This Row],[Y atarsada un periodo Y t-22]],2)</f>
        <v>1283482.1494182709</v>
      </c>
      <c r="I120">
        <f>Tabla13[[#This Row],[Y atarsada un periodo Y t-22]]*Tabla13[[#This Row],[(Yt-1 -Ȳ)2]]</f>
        <v>1454068108.5984142</v>
      </c>
    </row>
    <row r="121" spans="1:9" x14ac:dyDescent="0.35">
      <c r="A121" s="61">
        <v>50</v>
      </c>
      <c r="B121" s="55" t="s">
        <v>52</v>
      </c>
      <c r="C121" s="50">
        <v>5543.451</v>
      </c>
      <c r="D121">
        <f t="shared" si="12"/>
        <v>5410.277</v>
      </c>
      <c r="E121" s="72">
        <f t="shared" si="11"/>
        <v>1289.6977118644072</v>
      </c>
      <c r="F121" s="72">
        <f t="shared" si="13"/>
        <v>1156.5237118644072</v>
      </c>
      <c r="H121">
        <f>POWER(Tabla13[[#This Row],[Y atarsada un periodo Y t-22]],2)</f>
        <v>1663320.1879882875</v>
      </c>
      <c r="I121">
        <f>Tabla13[[#This Row],[Y atarsada un periodo Y t-22]]*Tabla13[[#This Row],[(Yt-1 -Ȳ)2]]</f>
        <v>2145180240.54637</v>
      </c>
    </row>
    <row r="122" spans="1:9" x14ac:dyDescent="0.35">
      <c r="A122" s="60">
        <v>51</v>
      </c>
      <c r="B122" s="54" t="s">
        <v>53</v>
      </c>
      <c r="C122" s="34">
        <v>5764.6930000000002</v>
      </c>
      <c r="D122">
        <f t="shared" si="12"/>
        <v>5386.6620000000003</v>
      </c>
      <c r="E122" s="72">
        <f t="shared" si="11"/>
        <v>1510.9397118644074</v>
      </c>
      <c r="F122" s="72">
        <f t="shared" si="13"/>
        <v>1132.9087118644075</v>
      </c>
      <c r="H122">
        <f>POWER(Tabla13[[#This Row],[Y atarsada un periodo Y t-22]],2)</f>
        <v>2282938.8128888984</v>
      </c>
      <c r="I122">
        <f>Tabla13[[#This Row],[Y atarsada un periodo Y t-22]]*Tabla13[[#This Row],[(Yt-1 -Ȳ)2]]</f>
        <v>3449382912.1504245</v>
      </c>
    </row>
    <row r="123" spans="1:9" x14ac:dyDescent="0.35">
      <c r="A123" s="61">
        <v>52</v>
      </c>
      <c r="B123" s="55" t="s">
        <v>54</v>
      </c>
      <c r="C123" s="50">
        <v>6170.3580000000002</v>
      </c>
      <c r="D123">
        <f t="shared" si="12"/>
        <v>5543.451</v>
      </c>
      <c r="E123" s="72">
        <f t="shared" si="11"/>
        <v>1916.6047118644074</v>
      </c>
      <c r="F123" s="72">
        <f t="shared" si="13"/>
        <v>1289.6977118644072</v>
      </c>
      <c r="H123">
        <f>POWER(Tabla13[[#This Row],[Y atarsada un periodo Y t-22]],2)</f>
        <v>3673373.6215408482</v>
      </c>
      <c r="I123">
        <f>Tabla13[[#This Row],[Y atarsada un periodo Y t-22]]*Tabla13[[#This Row],[(Yt-1 -Ȳ)2]]</f>
        <v>7040405191.4836121</v>
      </c>
    </row>
    <row r="124" spans="1:9" x14ac:dyDescent="0.35">
      <c r="A124" s="60">
        <v>53</v>
      </c>
      <c r="B124" s="54" t="s">
        <v>55</v>
      </c>
      <c r="C124" s="34">
        <v>6077.558</v>
      </c>
      <c r="D124">
        <f t="shared" si="12"/>
        <v>5764.6930000000002</v>
      </c>
      <c r="E124" s="72">
        <f t="shared" si="11"/>
        <v>1823.8047118644072</v>
      </c>
      <c r="F124" s="72">
        <f t="shared" si="13"/>
        <v>1510.9397118644074</v>
      </c>
      <c r="H124">
        <f>POWER(Tabla13[[#This Row],[Y atarsada un periodo Y t-22]],2)</f>
        <v>3326263.6270188135</v>
      </c>
      <c r="I124">
        <f>Tabla13[[#This Row],[Y atarsada un periodo Y t-22]]*Tabla13[[#This Row],[(Yt-1 -Ȳ)2]]</f>
        <v>6066455275.8601055</v>
      </c>
    </row>
    <row r="125" spans="1:9" x14ac:dyDescent="0.35">
      <c r="A125" s="61">
        <v>54</v>
      </c>
      <c r="B125" s="55" t="s">
        <v>56</v>
      </c>
      <c r="C125" s="50">
        <v>6345.5069999999996</v>
      </c>
      <c r="D125">
        <f t="shared" si="12"/>
        <v>6170.3580000000002</v>
      </c>
      <c r="E125" s="72">
        <f t="shared" si="11"/>
        <v>2091.7537118644068</v>
      </c>
      <c r="F125" s="72">
        <f t="shared" si="13"/>
        <v>1916.6047118644074</v>
      </c>
      <c r="H125">
        <f>POWER(Tabla13[[#This Row],[Y atarsada un periodo Y t-22]],2)</f>
        <v>4375433.5910985237</v>
      </c>
      <c r="I125">
        <f>Tabla13[[#This Row],[Y atarsada un periodo Y t-22]]*Tabla13[[#This Row],[(Yt-1 -Ȳ)2]]</f>
        <v>9152329455.1965485</v>
      </c>
    </row>
    <row r="126" spans="1:9" x14ac:dyDescent="0.35">
      <c r="A126" s="60">
        <v>55</v>
      </c>
      <c r="B126" s="54" t="s">
        <v>57</v>
      </c>
      <c r="C126" s="34">
        <v>6394.8150000000005</v>
      </c>
      <c r="D126">
        <f t="shared" si="12"/>
        <v>6077.558</v>
      </c>
      <c r="E126" s="72">
        <f t="shared" si="11"/>
        <v>2141.0617118644077</v>
      </c>
      <c r="F126" s="72">
        <f t="shared" si="13"/>
        <v>1823.8047118644072</v>
      </c>
      <c r="H126">
        <f>POWER(Tabla13[[#This Row],[Y atarsada un periodo Y t-22]],2)</f>
        <v>4584145.2540117484</v>
      </c>
      <c r="I126">
        <f>Tabla13[[#This Row],[Y atarsada un periodo Y t-22]]*Tabla13[[#This Row],[(Yt-1 -Ȳ)2]]</f>
        <v>9814937884.9894943</v>
      </c>
    </row>
    <row r="127" spans="1:9" x14ac:dyDescent="0.35">
      <c r="A127" s="61">
        <v>56</v>
      </c>
      <c r="B127" s="55" t="s">
        <v>58</v>
      </c>
      <c r="C127" s="50">
        <v>5744.5879999999997</v>
      </c>
      <c r="D127">
        <f t="shared" si="12"/>
        <v>6345.5069999999996</v>
      </c>
      <c r="E127" s="72">
        <f t="shared" si="11"/>
        <v>1490.8347118644069</v>
      </c>
      <c r="F127" s="72">
        <f t="shared" si="13"/>
        <v>2091.7537118644068</v>
      </c>
      <c r="H127">
        <f>POWER(Tabla13[[#This Row],[Y atarsada un periodo Y t-22]],2)</f>
        <v>2222588.1380998292</v>
      </c>
      <c r="I127">
        <f>Tabla13[[#This Row],[Y atarsada un periodo Y t-22]]*Tabla13[[#This Row],[(Yt-1 -Ȳ)2]]</f>
        <v>3313511546.4573073</v>
      </c>
    </row>
    <row r="128" spans="1:9" x14ac:dyDescent="0.35">
      <c r="A128" s="60">
        <v>57</v>
      </c>
      <c r="B128" s="54" t="s">
        <v>59</v>
      </c>
      <c r="C128" s="34">
        <v>6680.277</v>
      </c>
      <c r="D128">
        <f t="shared" si="12"/>
        <v>6394.8150000000005</v>
      </c>
      <c r="E128" s="72">
        <f t="shared" si="11"/>
        <v>2426.5237118644072</v>
      </c>
      <c r="F128" s="72">
        <f t="shared" si="13"/>
        <v>2141.0617118644077</v>
      </c>
      <c r="H128">
        <f>POWER(Tabla13[[#This Row],[Y atarsada un periodo Y t-22]],2)</f>
        <v>5888017.3242402207</v>
      </c>
      <c r="I128">
        <f>Tabla13[[#This Row],[Y atarsada un periodo Y t-22]]*Tabla13[[#This Row],[(Yt-1 -Ȳ)2]]</f>
        <v>14287413653.137316</v>
      </c>
    </row>
    <row r="129" spans="1:9" x14ac:dyDescent="0.35">
      <c r="A129" s="61">
        <v>58</v>
      </c>
      <c r="B129" s="55" t="s">
        <v>60</v>
      </c>
      <c r="C129" s="50">
        <v>4965.5910000000003</v>
      </c>
      <c r="D129">
        <f t="shared" si="12"/>
        <v>5744.5879999999997</v>
      </c>
      <c r="E129" s="72">
        <f t="shared" si="11"/>
        <v>711.83771186440754</v>
      </c>
      <c r="F129" s="72">
        <f t="shared" si="13"/>
        <v>1490.8347118644069</v>
      </c>
      <c r="H129">
        <f>POWER(Tabla13[[#This Row],[Y atarsada un periodo Y t-22]],2)</f>
        <v>506712.92803235527</v>
      </c>
      <c r="I129">
        <f>Tabla13[[#This Row],[Y atarsada un periodo Y t-22]]*Tabla13[[#This Row],[(Yt-1 -Ȳ)2]]</f>
        <v>360697371.26266599</v>
      </c>
    </row>
    <row r="130" spans="1:9" ht="15" thickBot="1" x14ac:dyDescent="0.4">
      <c r="A130" s="60">
        <v>59</v>
      </c>
      <c r="B130" s="54" t="s">
        <v>61</v>
      </c>
      <c r="C130" s="34">
        <v>5070.607</v>
      </c>
      <c r="D130">
        <f t="shared" si="12"/>
        <v>6680.277</v>
      </c>
      <c r="E130" s="72">
        <f t="shared" si="11"/>
        <v>816.85371186440716</v>
      </c>
      <c r="F130" s="72">
        <f t="shared" si="13"/>
        <v>2426.5237118644072</v>
      </c>
      <c r="H130">
        <f>POWER(Tabla13[[#This Row],[Y atarsada un periodo Y t-22]],2)</f>
        <v>667249.98658665991</v>
      </c>
      <c r="I130">
        <f>Tabla13[[#This Row],[Y atarsada un periodo Y t-22]]*Tabla13[[#This Row],[(Yt-1 -Ȳ)2]]</f>
        <v>545045628.28478909</v>
      </c>
    </row>
    <row r="131" spans="1:9" ht="15" thickTop="1" x14ac:dyDescent="0.35">
      <c r="A131" s="80"/>
      <c r="B131" s="81"/>
      <c r="C131" s="82">
        <f>SUBTOTAL(109,Tabla9[Datos originales Yt])</f>
        <v>250971.44399999999</v>
      </c>
      <c r="H131">
        <f>SUBTOTAL(109,Tabla13[(Yt-1 -Ȳ)2])</f>
        <v>60024821.548778109</v>
      </c>
      <c r="I131">
        <f>SUBTOTAL(109,Tabla13[(Yt -Ȳ)(Yt -1 -Ȳ)])</f>
        <v>32280712726.09726</v>
      </c>
    </row>
    <row r="134" spans="1:9" x14ac:dyDescent="0.35">
      <c r="C134" s="66" t="s">
        <v>1243</v>
      </c>
      <c r="D134" s="64">
        <f>H131/I131</f>
        <v>1.859463948584109E-3</v>
      </c>
    </row>
  </sheetData>
  <phoneticPr fontId="6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A36B-8278-4F58-BAAA-471DE77589AC}">
  <dimension ref="A1:R56"/>
  <sheetViews>
    <sheetView workbookViewId="0">
      <selection activeCell="E28" sqref="E28"/>
    </sheetView>
  </sheetViews>
  <sheetFormatPr baseColWidth="10" defaultRowHeight="14.5" x14ac:dyDescent="0.35"/>
  <cols>
    <col min="1" max="1" width="17.1796875" bestFit="1" customWidth="1"/>
    <col min="2" max="2" width="18" bestFit="1" customWidth="1"/>
    <col min="3" max="3" width="14.81640625" bestFit="1" customWidth="1"/>
    <col min="4" max="4" width="23.54296875" bestFit="1" customWidth="1"/>
    <col min="5" max="5" width="14.1796875" bestFit="1" customWidth="1"/>
    <col min="6" max="6" width="22.08984375" bestFit="1" customWidth="1"/>
    <col min="7" max="7" width="14.7265625" bestFit="1" customWidth="1"/>
    <col min="8" max="8" width="15.36328125" bestFit="1" customWidth="1"/>
    <col min="9" max="9" width="15.81640625" bestFit="1" customWidth="1"/>
    <col min="10" max="10" width="18.90625" bestFit="1" customWidth="1"/>
    <col min="11" max="11" width="30.08984375" bestFit="1" customWidth="1"/>
    <col min="12" max="12" width="23.453125" bestFit="1" customWidth="1"/>
    <col min="13" max="13" width="25.7265625" bestFit="1" customWidth="1"/>
    <col min="14" max="14" width="21.36328125" bestFit="1" customWidth="1"/>
    <col min="15" max="15" width="15.81640625" bestFit="1" customWidth="1"/>
    <col min="16" max="16" width="15.54296875" bestFit="1" customWidth="1"/>
    <col min="17" max="17" width="16.36328125" bestFit="1" customWidth="1"/>
    <col min="18" max="18" width="17.453125" bestFit="1" customWidth="1"/>
    <col min="19" max="19" width="15.90625" bestFit="1" customWidth="1"/>
    <col min="20" max="59" width="21.90625" bestFit="1" customWidth="1"/>
    <col min="60" max="60" width="12" bestFit="1" customWidth="1"/>
  </cols>
  <sheetData>
    <row r="1" spans="1:18" x14ac:dyDescent="0.35">
      <c r="A1" s="10" t="s">
        <v>619</v>
      </c>
      <c r="B1" t="s">
        <v>1180</v>
      </c>
    </row>
    <row r="3" spans="1:18" x14ac:dyDescent="0.35">
      <c r="A3" s="10" t="s">
        <v>614</v>
      </c>
      <c r="B3" t="s">
        <v>696</v>
      </c>
      <c r="C3" t="s">
        <v>697</v>
      </c>
      <c r="D3" t="s">
        <v>698</v>
      </c>
      <c r="E3" t="s">
        <v>699</v>
      </c>
      <c r="F3" t="s">
        <v>700</v>
      </c>
      <c r="G3" t="s">
        <v>702</v>
      </c>
      <c r="H3" t="s">
        <v>1156</v>
      </c>
      <c r="I3" t="s">
        <v>701</v>
      </c>
      <c r="J3" t="s">
        <v>703</v>
      </c>
      <c r="K3" t="s">
        <v>1148</v>
      </c>
      <c r="L3" t="s">
        <v>1149</v>
      </c>
      <c r="M3" t="s">
        <v>1150</v>
      </c>
      <c r="N3" t="s">
        <v>1153</v>
      </c>
      <c r="O3" t="s">
        <v>1152</v>
      </c>
      <c r="P3" t="s">
        <v>1154</v>
      </c>
      <c r="Q3" t="s">
        <v>1155</v>
      </c>
      <c r="R3" s="4" t="s">
        <v>1181</v>
      </c>
    </row>
    <row r="4" spans="1:18" x14ac:dyDescent="0.35">
      <c r="A4" s="11" t="s">
        <v>6</v>
      </c>
      <c r="B4">
        <v>6.0469999999999997</v>
      </c>
      <c r="C4">
        <v>1.016</v>
      </c>
      <c r="D4">
        <v>1.54</v>
      </c>
      <c r="E4">
        <v>2.4910000000000001</v>
      </c>
      <c r="F4">
        <v>848</v>
      </c>
      <c r="G4">
        <v>0</v>
      </c>
      <c r="H4">
        <v>78</v>
      </c>
      <c r="I4">
        <v>146</v>
      </c>
      <c r="J4">
        <v>307</v>
      </c>
      <c r="K4">
        <v>741</v>
      </c>
      <c r="L4">
        <v>72</v>
      </c>
      <c r="M4">
        <v>250</v>
      </c>
      <c r="N4">
        <v>334</v>
      </c>
      <c r="O4">
        <v>647</v>
      </c>
      <c r="P4">
        <v>0</v>
      </c>
      <c r="Q4">
        <v>0</v>
      </c>
      <c r="R4">
        <f>SUM(B4:Q4)</f>
        <v>3434.0940000000001</v>
      </c>
    </row>
    <row r="5" spans="1:18" x14ac:dyDescent="0.35">
      <c r="A5" s="11" t="s">
        <v>10</v>
      </c>
      <c r="B5">
        <v>6.8209999999999997</v>
      </c>
      <c r="C5">
        <v>1.333</v>
      </c>
      <c r="D5">
        <v>2.0649999999999999</v>
      </c>
      <c r="E5">
        <v>2.7629999999999999</v>
      </c>
      <c r="F5">
        <v>934</v>
      </c>
      <c r="G5">
        <v>2</v>
      </c>
      <c r="H5">
        <v>154</v>
      </c>
      <c r="I5">
        <v>178</v>
      </c>
      <c r="J5">
        <v>343</v>
      </c>
      <c r="K5">
        <v>1.669</v>
      </c>
      <c r="L5">
        <v>113</v>
      </c>
      <c r="M5">
        <v>266</v>
      </c>
      <c r="N5">
        <v>388</v>
      </c>
      <c r="O5">
        <v>449</v>
      </c>
      <c r="P5">
        <v>58</v>
      </c>
      <c r="Q5">
        <v>1</v>
      </c>
      <c r="R5">
        <f t="shared" ref="R5:R18" si="0">SUM(B5:Q5)</f>
        <v>2900.6509999999998</v>
      </c>
    </row>
    <row r="6" spans="1:18" x14ac:dyDescent="0.35">
      <c r="A6" s="11" t="s">
        <v>14</v>
      </c>
      <c r="B6">
        <v>7.2210000000000001</v>
      </c>
      <c r="C6">
        <v>1.6579999999999999</v>
      </c>
      <c r="D6">
        <v>2.1520000000000001</v>
      </c>
      <c r="E6">
        <v>3.0089999999999999</v>
      </c>
      <c r="F6">
        <v>1.0740000000000001</v>
      </c>
      <c r="G6">
        <v>4</v>
      </c>
      <c r="H6">
        <v>203</v>
      </c>
      <c r="I6">
        <v>203</v>
      </c>
      <c r="J6">
        <v>460</v>
      </c>
      <c r="K6">
        <v>2.621</v>
      </c>
      <c r="L6">
        <v>189</v>
      </c>
      <c r="M6">
        <v>293</v>
      </c>
      <c r="N6">
        <v>451</v>
      </c>
      <c r="O6">
        <v>224</v>
      </c>
      <c r="P6">
        <v>69</v>
      </c>
      <c r="Q6">
        <v>2</v>
      </c>
      <c r="R6">
        <f t="shared" si="0"/>
        <v>2115.7350000000001</v>
      </c>
    </row>
    <row r="7" spans="1:18" x14ac:dyDescent="0.35">
      <c r="A7" s="11" t="s">
        <v>18</v>
      </c>
      <c r="B7">
        <v>7.95</v>
      </c>
      <c r="C7">
        <v>1.718</v>
      </c>
      <c r="D7">
        <v>2.0019999999999998</v>
      </c>
      <c r="E7">
        <v>3.1309999999999998</v>
      </c>
      <c r="F7">
        <v>1.03</v>
      </c>
      <c r="G7">
        <v>12</v>
      </c>
      <c r="H7">
        <v>443</v>
      </c>
      <c r="I7">
        <v>223</v>
      </c>
      <c r="J7">
        <v>448</v>
      </c>
      <c r="K7">
        <v>2.6459999999999999</v>
      </c>
      <c r="L7">
        <v>232</v>
      </c>
      <c r="M7">
        <v>310</v>
      </c>
      <c r="N7">
        <v>509</v>
      </c>
      <c r="O7">
        <v>306</v>
      </c>
      <c r="P7">
        <v>83</v>
      </c>
      <c r="Q7">
        <v>4</v>
      </c>
      <c r="R7">
        <f t="shared" si="0"/>
        <v>2588.4769999999999</v>
      </c>
    </row>
    <row r="8" spans="1:18" x14ac:dyDescent="0.35">
      <c r="A8" s="11" t="s">
        <v>22</v>
      </c>
      <c r="B8">
        <v>8.7899999999999991</v>
      </c>
      <c r="C8">
        <v>1.8340000000000001</v>
      </c>
      <c r="D8">
        <v>2.0790000000000002</v>
      </c>
      <c r="E8">
        <v>3.47</v>
      </c>
      <c r="F8">
        <v>1.107</v>
      </c>
      <c r="G8">
        <v>20</v>
      </c>
      <c r="H8">
        <v>403</v>
      </c>
      <c r="I8">
        <v>275</v>
      </c>
      <c r="J8">
        <v>495</v>
      </c>
      <c r="K8">
        <v>2.641</v>
      </c>
      <c r="L8">
        <v>323</v>
      </c>
      <c r="M8">
        <v>347</v>
      </c>
      <c r="N8">
        <v>541</v>
      </c>
      <c r="O8">
        <v>115</v>
      </c>
      <c r="P8">
        <v>93</v>
      </c>
      <c r="Q8">
        <v>10</v>
      </c>
      <c r="R8">
        <f t="shared" si="0"/>
        <v>2641.9210000000003</v>
      </c>
    </row>
    <row r="9" spans="1:18" x14ac:dyDescent="0.35">
      <c r="A9" s="11" t="s">
        <v>26</v>
      </c>
      <c r="B9">
        <v>9.968</v>
      </c>
      <c r="C9">
        <v>1.9950000000000001</v>
      </c>
      <c r="D9">
        <v>2.0019999999999998</v>
      </c>
      <c r="E9">
        <v>3.4980000000000002</v>
      </c>
      <c r="F9">
        <v>1.135</v>
      </c>
      <c r="G9">
        <v>28</v>
      </c>
      <c r="H9">
        <v>428</v>
      </c>
      <c r="I9">
        <v>306</v>
      </c>
      <c r="J9">
        <v>534</v>
      </c>
      <c r="K9">
        <v>2.5419999999999998</v>
      </c>
      <c r="L9">
        <v>389</v>
      </c>
      <c r="M9">
        <v>392</v>
      </c>
      <c r="N9">
        <v>580</v>
      </c>
      <c r="O9">
        <v>327</v>
      </c>
      <c r="P9">
        <v>106</v>
      </c>
      <c r="Q9">
        <v>16</v>
      </c>
      <c r="R9">
        <f t="shared" si="0"/>
        <v>3127.14</v>
      </c>
    </row>
    <row r="10" spans="1:18" x14ac:dyDescent="0.35">
      <c r="A10" s="11" t="s">
        <v>30</v>
      </c>
      <c r="B10">
        <v>10.377000000000001</v>
      </c>
      <c r="C10">
        <v>2.2149999999999999</v>
      </c>
      <c r="D10">
        <v>1.8480000000000001</v>
      </c>
      <c r="E10">
        <v>3.5939999999999999</v>
      </c>
      <c r="F10">
        <v>1.167</v>
      </c>
      <c r="G10">
        <v>47</v>
      </c>
      <c r="H10">
        <v>467</v>
      </c>
      <c r="I10">
        <v>333</v>
      </c>
      <c r="J10">
        <v>550</v>
      </c>
      <c r="K10">
        <v>3.0510000000000002</v>
      </c>
      <c r="L10">
        <v>497</v>
      </c>
      <c r="M10">
        <v>430</v>
      </c>
      <c r="N10">
        <v>625</v>
      </c>
      <c r="O10">
        <v>395</v>
      </c>
      <c r="P10">
        <v>112</v>
      </c>
      <c r="Q10">
        <v>22</v>
      </c>
      <c r="R10">
        <f t="shared" si="0"/>
        <v>3500.252</v>
      </c>
    </row>
    <row r="11" spans="1:18" x14ac:dyDescent="0.35">
      <c r="A11" s="11" t="s">
        <v>34</v>
      </c>
      <c r="B11">
        <v>3.1880000000000002</v>
      </c>
      <c r="C11">
        <v>2.3380000000000001</v>
      </c>
      <c r="D11">
        <v>1.82</v>
      </c>
      <c r="E11">
        <v>3.4990000000000001</v>
      </c>
      <c r="F11">
        <v>1.181</v>
      </c>
      <c r="G11">
        <v>58</v>
      </c>
      <c r="H11">
        <v>588</v>
      </c>
      <c r="I11">
        <v>377</v>
      </c>
      <c r="J11">
        <v>574</v>
      </c>
      <c r="K11">
        <v>3.2589999999999999</v>
      </c>
      <c r="L11">
        <v>609</v>
      </c>
      <c r="M11">
        <v>511</v>
      </c>
      <c r="N11">
        <v>678</v>
      </c>
      <c r="O11">
        <v>419</v>
      </c>
      <c r="P11">
        <v>132</v>
      </c>
      <c r="Q11">
        <v>33</v>
      </c>
      <c r="R11">
        <f t="shared" si="0"/>
        <v>3994.2849999999999</v>
      </c>
    </row>
    <row r="12" spans="1:18" x14ac:dyDescent="0.35">
      <c r="A12" s="11" t="s">
        <v>38</v>
      </c>
      <c r="B12">
        <v>4.008</v>
      </c>
      <c r="C12">
        <v>2.468</v>
      </c>
      <c r="D12">
        <v>1.8380000000000001</v>
      </c>
      <c r="E12">
        <v>4.3220000000000001</v>
      </c>
      <c r="F12">
        <v>1.2410000000000001</v>
      </c>
      <c r="G12">
        <v>69</v>
      </c>
      <c r="H12">
        <v>622</v>
      </c>
      <c r="I12">
        <v>384</v>
      </c>
      <c r="J12">
        <v>603</v>
      </c>
      <c r="K12">
        <v>3.4670000000000001</v>
      </c>
      <c r="L12">
        <v>576</v>
      </c>
      <c r="M12">
        <v>536</v>
      </c>
      <c r="N12">
        <v>712</v>
      </c>
      <c r="O12">
        <v>451</v>
      </c>
      <c r="P12">
        <v>142</v>
      </c>
      <c r="Q12">
        <v>52</v>
      </c>
      <c r="R12">
        <f t="shared" si="0"/>
        <v>4164.3440000000001</v>
      </c>
    </row>
    <row r="13" spans="1:18" x14ac:dyDescent="0.35">
      <c r="A13" s="11" t="s">
        <v>42</v>
      </c>
      <c r="B13">
        <v>5.3559999999999999</v>
      </c>
      <c r="C13">
        <v>2.6179999999999999</v>
      </c>
      <c r="D13">
        <v>1.887</v>
      </c>
      <c r="E13">
        <v>2.7890000000000001</v>
      </c>
      <c r="F13">
        <v>1.2230000000000001</v>
      </c>
      <c r="G13">
        <v>15</v>
      </c>
      <c r="H13">
        <v>661</v>
      </c>
      <c r="I13">
        <v>423</v>
      </c>
      <c r="J13">
        <v>598</v>
      </c>
      <c r="K13">
        <v>4.4930000000000003</v>
      </c>
      <c r="L13">
        <v>605</v>
      </c>
      <c r="M13">
        <v>618</v>
      </c>
      <c r="N13">
        <v>738</v>
      </c>
      <c r="O13">
        <v>476</v>
      </c>
      <c r="P13">
        <v>162</v>
      </c>
      <c r="Q13">
        <v>84</v>
      </c>
      <c r="R13">
        <f t="shared" si="0"/>
        <v>4398.366</v>
      </c>
    </row>
    <row r="14" spans="1:18" x14ac:dyDescent="0.35">
      <c r="A14" s="11" t="s">
        <v>46</v>
      </c>
      <c r="B14">
        <v>5.1879999999999997</v>
      </c>
      <c r="C14">
        <v>2.7149999999999999</v>
      </c>
      <c r="D14">
        <v>1.978</v>
      </c>
      <c r="E14">
        <v>2.6030000000000002</v>
      </c>
      <c r="F14">
        <v>1.9339999999999999</v>
      </c>
      <c r="G14">
        <v>84</v>
      </c>
      <c r="H14">
        <v>703</v>
      </c>
      <c r="I14">
        <v>455</v>
      </c>
      <c r="J14">
        <v>571</v>
      </c>
      <c r="K14">
        <v>4.6520000000000001</v>
      </c>
      <c r="L14">
        <v>677</v>
      </c>
      <c r="M14">
        <v>671</v>
      </c>
      <c r="N14">
        <v>757</v>
      </c>
      <c r="O14">
        <v>485</v>
      </c>
      <c r="P14">
        <v>167</v>
      </c>
      <c r="Q14">
        <v>131</v>
      </c>
      <c r="R14">
        <f t="shared" si="0"/>
        <v>4720.07</v>
      </c>
    </row>
    <row r="15" spans="1:18" x14ac:dyDescent="0.35">
      <c r="A15" s="11" t="s">
        <v>50</v>
      </c>
      <c r="B15">
        <v>5.3330000000000002</v>
      </c>
      <c r="C15">
        <v>3.157</v>
      </c>
      <c r="D15">
        <v>2.1909999999999998</v>
      </c>
      <c r="E15">
        <v>2.645</v>
      </c>
      <c r="F15">
        <v>1.998</v>
      </c>
      <c r="G15">
        <v>104</v>
      </c>
      <c r="H15">
        <v>727</v>
      </c>
      <c r="I15">
        <v>530</v>
      </c>
      <c r="J15">
        <v>571</v>
      </c>
      <c r="K15">
        <v>4.9530000000000003</v>
      </c>
      <c r="L15">
        <v>759</v>
      </c>
      <c r="M15">
        <v>768</v>
      </c>
      <c r="N15">
        <v>602</v>
      </c>
      <c r="O15">
        <v>514</v>
      </c>
      <c r="P15">
        <v>201</v>
      </c>
      <c r="Q15">
        <v>171</v>
      </c>
      <c r="R15">
        <f t="shared" si="0"/>
        <v>4967.277</v>
      </c>
    </row>
    <row r="16" spans="1:18" x14ac:dyDescent="0.35">
      <c r="A16" s="11" t="s">
        <v>54</v>
      </c>
      <c r="B16">
        <v>7.5890000000000004</v>
      </c>
      <c r="C16">
        <v>3.4710000000000001</v>
      </c>
      <c r="D16">
        <v>2.4089999999999998</v>
      </c>
      <c r="E16">
        <v>2.774</v>
      </c>
      <c r="F16">
        <v>2.0680000000000001</v>
      </c>
      <c r="G16">
        <v>131</v>
      </c>
      <c r="H16">
        <v>803</v>
      </c>
      <c r="I16">
        <v>601</v>
      </c>
      <c r="J16">
        <v>621</v>
      </c>
      <c r="K16">
        <v>6.0469999999999997</v>
      </c>
      <c r="L16">
        <v>892</v>
      </c>
      <c r="M16">
        <v>889</v>
      </c>
      <c r="N16">
        <v>679</v>
      </c>
      <c r="O16">
        <v>595</v>
      </c>
      <c r="P16">
        <v>208</v>
      </c>
      <c r="Q16">
        <v>221</v>
      </c>
      <c r="R16">
        <f t="shared" si="0"/>
        <v>5664.3580000000002</v>
      </c>
    </row>
    <row r="17" spans="1:18" x14ac:dyDescent="0.35">
      <c r="A17" s="11" t="s">
        <v>58</v>
      </c>
      <c r="B17">
        <v>7.7649999999999997</v>
      </c>
      <c r="C17">
        <v>3.7959999999999998</v>
      </c>
      <c r="D17">
        <v>2.5609999999999999</v>
      </c>
      <c r="E17">
        <v>2.8410000000000002</v>
      </c>
      <c r="F17">
        <v>2.0710000000000002</v>
      </c>
      <c r="G17">
        <v>165</v>
      </c>
      <c r="H17">
        <v>814</v>
      </c>
      <c r="I17">
        <v>651</v>
      </c>
      <c r="J17">
        <v>617</v>
      </c>
      <c r="K17">
        <v>6.5069999999999997</v>
      </c>
      <c r="L17">
        <v>1.0469999999999999</v>
      </c>
      <c r="M17">
        <v>978</v>
      </c>
      <c r="N17">
        <v>741</v>
      </c>
      <c r="O17">
        <v>642</v>
      </c>
      <c r="P17">
        <v>223</v>
      </c>
      <c r="Q17">
        <v>338</v>
      </c>
      <c r="R17">
        <f t="shared" si="0"/>
        <v>5195.5879999999997</v>
      </c>
    </row>
    <row r="18" spans="1:18" x14ac:dyDescent="0.35">
      <c r="A18" s="11" t="s">
        <v>615</v>
      </c>
      <c r="B18">
        <v>95.600999999999999</v>
      </c>
      <c r="C18">
        <v>32.332000000000001</v>
      </c>
      <c r="D18">
        <v>28.372</v>
      </c>
      <c r="E18">
        <v>43.429000000000009</v>
      </c>
      <c r="F18">
        <v>1799.2289999999998</v>
      </c>
      <c r="G18">
        <v>739</v>
      </c>
      <c r="H18">
        <v>7094</v>
      </c>
      <c r="I18">
        <v>5085</v>
      </c>
      <c r="J18">
        <v>7292</v>
      </c>
      <c r="K18">
        <v>789.548</v>
      </c>
      <c r="L18">
        <v>5934.0469999999996</v>
      </c>
      <c r="M18">
        <v>7259</v>
      </c>
      <c r="N18">
        <v>8335</v>
      </c>
      <c r="O18">
        <v>6045</v>
      </c>
      <c r="P18">
        <v>1756</v>
      </c>
      <c r="Q18">
        <v>1085</v>
      </c>
      <c r="R18">
        <f t="shared" si="0"/>
        <v>53412.557999999997</v>
      </c>
    </row>
    <row r="22" spans="1:18" x14ac:dyDescent="0.35">
      <c r="A22" s="12" t="s">
        <v>618</v>
      </c>
      <c r="B22" t="s">
        <v>1177</v>
      </c>
      <c r="C22" t="s">
        <v>1178</v>
      </c>
      <c r="D22" t="s">
        <v>1179</v>
      </c>
      <c r="E22" t="s">
        <v>1180</v>
      </c>
    </row>
    <row r="23" spans="1:18" x14ac:dyDescent="0.35">
      <c r="A23" s="11">
        <v>2005</v>
      </c>
      <c r="B23">
        <v>3071.5839999999998</v>
      </c>
      <c r="C23">
        <v>3311.9369999999999</v>
      </c>
      <c r="D23">
        <v>3211.4650000000001</v>
      </c>
      <c r="E23">
        <v>3434.0940000000001</v>
      </c>
    </row>
    <row r="24" spans="1:18" x14ac:dyDescent="0.35">
      <c r="A24" s="11">
        <v>2006</v>
      </c>
      <c r="B24">
        <v>3459.93</v>
      </c>
      <c r="C24">
        <v>3598.5219999999999</v>
      </c>
      <c r="D24">
        <v>3606.3879999999999</v>
      </c>
      <c r="E24">
        <v>2900.6509999999998</v>
      </c>
    </row>
    <row r="25" spans="1:18" x14ac:dyDescent="0.35">
      <c r="A25" s="11">
        <v>2007</v>
      </c>
      <c r="B25">
        <v>2956.471</v>
      </c>
      <c r="C25">
        <v>3054.1210000000001</v>
      </c>
      <c r="D25">
        <v>3083.0290000000005</v>
      </c>
      <c r="E25">
        <v>2115.7350000000001</v>
      </c>
    </row>
    <row r="26" spans="1:18" x14ac:dyDescent="0.35">
      <c r="A26" s="11">
        <v>2008</v>
      </c>
      <c r="B26">
        <v>2646.9360000000001</v>
      </c>
      <c r="C26">
        <v>2834.0299999999997</v>
      </c>
      <c r="D26">
        <v>3784.8679999999999</v>
      </c>
      <c r="E26">
        <v>2588.4769999999999</v>
      </c>
    </row>
    <row r="27" spans="1:18" x14ac:dyDescent="0.35">
      <c r="A27" s="11">
        <v>2009</v>
      </c>
      <c r="B27">
        <v>3664.4080000000004</v>
      </c>
      <c r="C27">
        <v>2750.83</v>
      </c>
      <c r="D27">
        <v>3906.1149999999998</v>
      </c>
      <c r="E27">
        <v>2641.9210000000003</v>
      </c>
    </row>
    <row r="28" spans="1:18" x14ac:dyDescent="0.35">
      <c r="A28" s="11">
        <v>2010</v>
      </c>
      <c r="B28">
        <v>2916.0740000000001</v>
      </c>
      <c r="C28">
        <v>2984.36</v>
      </c>
      <c r="D28">
        <v>3986.212</v>
      </c>
      <c r="E28">
        <v>3127.14</v>
      </c>
    </row>
    <row r="29" spans="1:18" x14ac:dyDescent="0.35">
      <c r="A29" s="11">
        <v>2011</v>
      </c>
      <c r="B29">
        <v>3201.1019999999999</v>
      </c>
      <c r="C29">
        <v>3374.1639999999998</v>
      </c>
      <c r="D29">
        <v>3413.1660000000002</v>
      </c>
      <c r="E29">
        <v>3500.252</v>
      </c>
    </row>
    <row r="30" spans="1:18" x14ac:dyDescent="0.35">
      <c r="A30" s="11">
        <v>2012</v>
      </c>
      <c r="B30">
        <v>3566.8969999999999</v>
      </c>
      <c r="C30">
        <v>3674.0519999999997</v>
      </c>
      <c r="D30">
        <v>3632.6410000000001</v>
      </c>
      <c r="E30">
        <v>3994.2849999999999</v>
      </c>
    </row>
    <row r="31" spans="1:18" x14ac:dyDescent="0.35">
      <c r="A31" s="11">
        <v>2013</v>
      </c>
      <c r="B31">
        <v>4043.1080000000002</v>
      </c>
      <c r="C31">
        <v>4045.5460000000003</v>
      </c>
      <c r="D31">
        <v>3919.6869999999999</v>
      </c>
      <c r="E31">
        <v>4164.3440000000001</v>
      </c>
    </row>
    <row r="32" spans="1:18" x14ac:dyDescent="0.35">
      <c r="A32" s="11">
        <v>2014</v>
      </c>
      <c r="B32">
        <v>3998.748</v>
      </c>
      <c r="C32">
        <v>4170.9520000000002</v>
      </c>
      <c r="D32">
        <v>4275.3</v>
      </c>
      <c r="E32">
        <v>4398.366</v>
      </c>
    </row>
    <row r="33" spans="1:5" x14ac:dyDescent="0.35">
      <c r="A33" s="11">
        <v>2015</v>
      </c>
      <c r="B33">
        <v>4150.5</v>
      </c>
      <c r="C33">
        <v>4381.3590000000004</v>
      </c>
      <c r="D33">
        <v>3781.83</v>
      </c>
      <c r="E33">
        <v>4720.07</v>
      </c>
    </row>
    <row r="34" spans="1:5" x14ac:dyDescent="0.35">
      <c r="A34" s="11">
        <v>2016</v>
      </c>
      <c r="B34">
        <v>4337.9179999999997</v>
      </c>
      <c r="C34">
        <v>4691.3530000000001</v>
      </c>
      <c r="D34">
        <v>4579.1219999999994</v>
      </c>
      <c r="E34">
        <v>4967.277</v>
      </c>
    </row>
    <row r="35" spans="1:5" x14ac:dyDescent="0.35">
      <c r="A35" s="11">
        <v>2017</v>
      </c>
      <c r="B35">
        <v>4924.6620000000003</v>
      </c>
      <c r="C35">
        <v>5034.451</v>
      </c>
      <c r="D35">
        <v>5272.6930000000002</v>
      </c>
      <c r="E35">
        <v>5664.3580000000002</v>
      </c>
    </row>
    <row r="36" spans="1:5" x14ac:dyDescent="0.35">
      <c r="A36" s="11">
        <v>2018</v>
      </c>
      <c r="B36">
        <v>5539.558</v>
      </c>
      <c r="C36">
        <v>5764.5069999999996</v>
      </c>
      <c r="D36">
        <v>5849.8150000000005</v>
      </c>
      <c r="E36">
        <v>5195.5879999999997</v>
      </c>
    </row>
    <row r="37" spans="1:5" x14ac:dyDescent="0.35">
      <c r="A37" s="11">
        <v>2019</v>
      </c>
      <c r="B37">
        <v>6104.277</v>
      </c>
      <c r="C37">
        <v>4345.5910000000003</v>
      </c>
      <c r="D37">
        <v>4465.607</v>
      </c>
    </row>
    <row r="41" spans="1:5" x14ac:dyDescent="0.35">
      <c r="A41" s="56"/>
    </row>
    <row r="42" spans="1:5" x14ac:dyDescent="0.35">
      <c r="A42" s="11"/>
    </row>
    <row r="43" spans="1:5" x14ac:dyDescent="0.35">
      <c r="A43" s="11"/>
    </row>
    <row r="44" spans="1:5" x14ac:dyDescent="0.35">
      <c r="A44" s="11"/>
    </row>
    <row r="45" spans="1:5" x14ac:dyDescent="0.35">
      <c r="A45" s="11"/>
    </row>
    <row r="46" spans="1:5" x14ac:dyDescent="0.35">
      <c r="A46" s="11"/>
    </row>
    <row r="47" spans="1:5" x14ac:dyDescent="0.35">
      <c r="A47" s="11"/>
    </row>
    <row r="48" spans="1:5" x14ac:dyDescent="0.35">
      <c r="A48" s="11"/>
    </row>
    <row r="49" spans="1:1" x14ac:dyDescent="0.35">
      <c r="A49" s="11"/>
    </row>
    <row r="50" spans="1:1" x14ac:dyDescent="0.35">
      <c r="A50" s="11"/>
    </row>
    <row r="51" spans="1:1" x14ac:dyDescent="0.35">
      <c r="A51" s="11"/>
    </row>
    <row r="52" spans="1:1" x14ac:dyDescent="0.35">
      <c r="A52" s="11"/>
    </row>
    <row r="53" spans="1:1" x14ac:dyDescent="0.35">
      <c r="A53" s="11"/>
    </row>
    <row r="54" spans="1:1" x14ac:dyDescent="0.35">
      <c r="A54" s="11"/>
    </row>
    <row r="55" spans="1:1" x14ac:dyDescent="0.35">
      <c r="A55" s="11"/>
    </row>
    <row r="56" spans="1:1" x14ac:dyDescent="0.35">
      <c r="A56" s="11"/>
    </row>
  </sheetData>
  <phoneticPr fontId="6" type="noConversion"/>
  <pageMargins left="0.7" right="0.7" top="0.75" bottom="0.75" header="0.3" footer="0.3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B2AB-18C2-4344-8E23-25293E30F5D7}">
  <dimension ref="A1:T63"/>
  <sheetViews>
    <sheetView workbookViewId="0">
      <selection activeCell="T3" sqref="T3"/>
    </sheetView>
  </sheetViews>
  <sheetFormatPr baseColWidth="10" defaultRowHeight="14.5" x14ac:dyDescent="0.35"/>
  <cols>
    <col min="1" max="1" width="12.54296875" customWidth="1"/>
    <col min="2" max="2" width="11.08984375" customWidth="1"/>
    <col min="3" max="3" width="12.6328125" customWidth="1"/>
    <col min="4" max="4" width="11.08984375" customWidth="1"/>
    <col min="5" max="5" width="10" customWidth="1"/>
    <col min="6" max="6" width="9.90625" customWidth="1"/>
    <col min="7" max="7" width="11.54296875" customWidth="1"/>
    <col min="8" max="8" width="11.90625" customWidth="1"/>
    <col min="9" max="9" width="8.81640625" customWidth="1"/>
    <col min="10" max="10" width="10.90625" customWidth="1"/>
    <col min="11" max="11" width="11.453125" customWidth="1"/>
    <col min="12" max="12" width="12.90625" customWidth="1"/>
    <col min="13" max="13" width="11.7265625" customWidth="1"/>
    <col min="14" max="14" width="10.453125" customWidth="1"/>
    <col min="15" max="15" width="13.6328125" customWidth="1"/>
    <col min="16" max="16" width="8.08984375" customWidth="1"/>
    <col min="17" max="17" width="10.1796875" customWidth="1"/>
    <col min="18" max="18" width="15.08984375" customWidth="1"/>
  </cols>
  <sheetData>
    <row r="1" spans="1:20" x14ac:dyDescent="0.35">
      <c r="A1" s="10" t="s">
        <v>619</v>
      </c>
      <c r="B1" t="s">
        <v>617</v>
      </c>
    </row>
    <row r="3" spans="1:20" ht="58" x14ac:dyDescent="0.35">
      <c r="A3" s="10" t="s">
        <v>614</v>
      </c>
      <c r="B3" s="67" t="s">
        <v>696</v>
      </c>
      <c r="C3" s="67" t="s">
        <v>697</v>
      </c>
      <c r="D3" s="67" t="s">
        <v>702</v>
      </c>
      <c r="E3" s="67" t="s">
        <v>698</v>
      </c>
      <c r="F3" s="67" t="s">
        <v>1156</v>
      </c>
      <c r="G3" s="67" t="s">
        <v>1155</v>
      </c>
      <c r="H3" s="67" t="s">
        <v>1154</v>
      </c>
      <c r="I3" s="67" t="s">
        <v>699</v>
      </c>
      <c r="J3" s="67" t="s">
        <v>700</v>
      </c>
      <c r="K3" s="67" t="s">
        <v>701</v>
      </c>
      <c r="L3" s="67" t="s">
        <v>703</v>
      </c>
      <c r="M3" s="67" t="s">
        <v>1148</v>
      </c>
      <c r="N3" s="67" t="s">
        <v>1149</v>
      </c>
      <c r="O3" s="67" t="s">
        <v>1150</v>
      </c>
      <c r="P3" s="67" t="s">
        <v>1151</v>
      </c>
      <c r="Q3" s="67" t="s">
        <v>1152</v>
      </c>
      <c r="R3" s="67" t="s">
        <v>1153</v>
      </c>
      <c r="S3" s="132" t="s">
        <v>1182</v>
      </c>
      <c r="T3" s="132" t="s">
        <v>618</v>
      </c>
    </row>
    <row r="4" spans="1:20" x14ac:dyDescent="0.35">
      <c r="A4" s="11" t="s">
        <v>3</v>
      </c>
      <c r="B4">
        <v>5.383</v>
      </c>
      <c r="C4" s="67">
        <v>1.2030000000000001</v>
      </c>
      <c r="D4" s="67">
        <v>0</v>
      </c>
      <c r="E4">
        <v>1.615</v>
      </c>
      <c r="F4">
        <v>0</v>
      </c>
      <c r="G4" s="67">
        <v>0</v>
      </c>
      <c r="H4" s="67">
        <v>0</v>
      </c>
      <c r="I4" s="67">
        <v>2.383</v>
      </c>
      <c r="J4" s="67">
        <v>829</v>
      </c>
      <c r="K4" s="67">
        <v>108</v>
      </c>
      <c r="L4">
        <v>299</v>
      </c>
      <c r="M4">
        <v>559</v>
      </c>
      <c r="N4">
        <v>42</v>
      </c>
      <c r="O4">
        <v>249</v>
      </c>
      <c r="P4">
        <v>152</v>
      </c>
      <c r="Q4">
        <v>624</v>
      </c>
      <c r="R4">
        <v>351</v>
      </c>
      <c r="S4">
        <f>SUM(B4:R4)</f>
        <v>3223.5839999999998</v>
      </c>
      <c r="T4" t="str" cm="1">
        <f t="array" ref="T4:T62">RIGHT(A4:A62,4)</f>
        <v>2005</v>
      </c>
    </row>
    <row r="5" spans="1:20" x14ac:dyDescent="0.35">
      <c r="A5" s="11" t="s">
        <v>7</v>
      </c>
      <c r="B5">
        <v>4.58</v>
      </c>
      <c r="C5" s="67">
        <v>1.321</v>
      </c>
      <c r="D5" s="67">
        <v>0</v>
      </c>
      <c r="E5">
        <v>1.62</v>
      </c>
      <c r="F5">
        <v>88</v>
      </c>
      <c r="G5" s="67">
        <v>0</v>
      </c>
      <c r="H5" s="67">
        <v>0</v>
      </c>
      <c r="I5" s="67">
        <v>2.4089999999999998</v>
      </c>
      <c r="J5" s="67">
        <v>860</v>
      </c>
      <c r="K5" s="67">
        <v>162</v>
      </c>
      <c r="L5">
        <v>308</v>
      </c>
      <c r="M5">
        <v>684</v>
      </c>
      <c r="N5">
        <v>77</v>
      </c>
      <c r="O5">
        <v>257</v>
      </c>
      <c r="P5">
        <v>168</v>
      </c>
      <c r="Q5">
        <v>600</v>
      </c>
      <c r="R5">
        <v>414</v>
      </c>
      <c r="S5">
        <f t="shared" ref="S5:S62" si="0">SUM(B5:R5)</f>
        <v>3627.9300000000003</v>
      </c>
      <c r="T5" t="str">
        <v>2006</v>
      </c>
    </row>
    <row r="6" spans="1:20" x14ac:dyDescent="0.35">
      <c r="A6" s="11" t="s">
        <v>11</v>
      </c>
      <c r="B6">
        <v>5.9459999999999997</v>
      </c>
      <c r="C6" s="67">
        <v>1.4259999999999999</v>
      </c>
      <c r="D6" s="67">
        <v>2</v>
      </c>
      <c r="E6">
        <v>2.0859999999999999</v>
      </c>
      <c r="F6">
        <v>163</v>
      </c>
      <c r="G6" s="67">
        <v>1</v>
      </c>
      <c r="H6" s="67">
        <v>59</v>
      </c>
      <c r="I6" s="67">
        <v>2.6749999999999998</v>
      </c>
      <c r="J6" s="67">
        <v>950</v>
      </c>
      <c r="K6" s="67">
        <v>183</v>
      </c>
      <c r="L6">
        <v>323</v>
      </c>
      <c r="M6">
        <v>2.3380000000000001</v>
      </c>
      <c r="N6">
        <v>114</v>
      </c>
      <c r="O6">
        <v>264</v>
      </c>
      <c r="P6">
        <v>211</v>
      </c>
      <c r="Q6">
        <v>440</v>
      </c>
      <c r="R6">
        <v>443</v>
      </c>
      <c r="S6">
        <f t="shared" si="0"/>
        <v>3167.471</v>
      </c>
      <c r="T6" t="str">
        <v>2007</v>
      </c>
    </row>
    <row r="7" spans="1:20" x14ac:dyDescent="0.35">
      <c r="A7" s="11" t="s">
        <v>15</v>
      </c>
      <c r="B7">
        <v>6.766</v>
      </c>
      <c r="C7" s="67">
        <v>1.6339999999999999</v>
      </c>
      <c r="D7" s="67">
        <v>7</v>
      </c>
      <c r="E7">
        <v>2.0459999999999998</v>
      </c>
      <c r="F7">
        <v>371</v>
      </c>
      <c r="G7" s="67">
        <v>2</v>
      </c>
      <c r="H7" s="67">
        <v>71</v>
      </c>
      <c r="I7" s="67">
        <v>2.8769999999999998</v>
      </c>
      <c r="J7" s="67">
        <v>1.0589999999999999</v>
      </c>
      <c r="K7" s="67">
        <v>212</v>
      </c>
      <c r="L7">
        <v>422</v>
      </c>
      <c r="M7">
        <v>2.5539999999999998</v>
      </c>
      <c r="N7">
        <v>188</v>
      </c>
      <c r="O7">
        <v>297</v>
      </c>
      <c r="P7">
        <v>249</v>
      </c>
      <c r="Q7">
        <v>542</v>
      </c>
      <c r="R7">
        <v>518</v>
      </c>
      <c r="S7">
        <f t="shared" si="0"/>
        <v>2895.9360000000001</v>
      </c>
      <c r="T7" t="str">
        <v>2008</v>
      </c>
    </row>
    <row r="8" spans="1:20" x14ac:dyDescent="0.35">
      <c r="A8" s="11" t="s">
        <v>19</v>
      </c>
      <c r="B8">
        <v>6.718</v>
      </c>
      <c r="C8" s="67">
        <v>1.601</v>
      </c>
      <c r="D8" s="67">
        <v>12</v>
      </c>
      <c r="E8">
        <v>2.0099999999999998</v>
      </c>
      <c r="F8">
        <v>429</v>
      </c>
      <c r="G8" s="67">
        <v>5</v>
      </c>
      <c r="H8" s="67">
        <v>85</v>
      </c>
      <c r="I8" s="67">
        <v>2.8239999999999998</v>
      </c>
      <c r="J8" s="67">
        <v>993</v>
      </c>
      <c r="K8" s="67">
        <v>228</v>
      </c>
      <c r="L8">
        <v>401</v>
      </c>
      <c r="M8">
        <v>2.2549999999999999</v>
      </c>
      <c r="N8">
        <v>188</v>
      </c>
      <c r="O8">
        <v>314</v>
      </c>
      <c r="P8">
        <v>236</v>
      </c>
      <c r="Q8">
        <v>440</v>
      </c>
      <c r="R8">
        <v>554</v>
      </c>
      <c r="S8">
        <f t="shared" si="0"/>
        <v>3900.4079999999999</v>
      </c>
      <c r="T8" t="str">
        <v>2009</v>
      </c>
    </row>
    <row r="9" spans="1:20" x14ac:dyDescent="0.35">
      <c r="A9" s="11" t="s">
        <v>23</v>
      </c>
      <c r="B9">
        <v>7.6980000000000004</v>
      </c>
      <c r="C9" s="67">
        <v>1.7989999999999999</v>
      </c>
      <c r="D9" s="67">
        <v>21</v>
      </c>
      <c r="E9">
        <v>1.96</v>
      </c>
      <c r="F9">
        <v>412</v>
      </c>
      <c r="G9" s="67">
        <v>10</v>
      </c>
      <c r="H9" s="67">
        <v>99</v>
      </c>
      <c r="I9" s="67">
        <v>2.927</v>
      </c>
      <c r="J9" s="67">
        <v>1.0629999999999999</v>
      </c>
      <c r="K9" s="67">
        <v>279</v>
      </c>
      <c r="L9">
        <v>454</v>
      </c>
      <c r="M9">
        <v>2.6269999999999998</v>
      </c>
      <c r="N9">
        <v>329</v>
      </c>
      <c r="O9">
        <v>341</v>
      </c>
      <c r="P9">
        <v>269</v>
      </c>
      <c r="Q9">
        <v>367</v>
      </c>
      <c r="R9">
        <v>586</v>
      </c>
      <c r="S9">
        <f t="shared" si="0"/>
        <v>3185.0740000000001</v>
      </c>
      <c r="T9" t="str">
        <v>2010</v>
      </c>
    </row>
    <row r="10" spans="1:20" x14ac:dyDescent="0.35">
      <c r="A10" s="11" t="s">
        <v>27</v>
      </c>
      <c r="B10">
        <v>9.0410000000000004</v>
      </c>
      <c r="C10" s="67">
        <v>2.0150000000000001</v>
      </c>
      <c r="D10" s="67">
        <v>28</v>
      </c>
      <c r="E10">
        <v>1.925</v>
      </c>
      <c r="F10">
        <v>433</v>
      </c>
      <c r="G10" s="67">
        <v>14</v>
      </c>
      <c r="H10" s="67">
        <v>113</v>
      </c>
      <c r="I10" s="67">
        <v>3.2839999999999998</v>
      </c>
      <c r="J10" s="67">
        <v>1.1160000000000001</v>
      </c>
      <c r="K10" s="67">
        <v>313</v>
      </c>
      <c r="L10">
        <v>485</v>
      </c>
      <c r="M10">
        <v>2.7210000000000001</v>
      </c>
      <c r="N10">
        <v>388</v>
      </c>
      <c r="O10">
        <v>405</v>
      </c>
      <c r="P10">
        <v>293</v>
      </c>
      <c r="Q10">
        <v>354</v>
      </c>
      <c r="R10">
        <v>648</v>
      </c>
      <c r="S10">
        <f t="shared" si="0"/>
        <v>3494.1019999999999</v>
      </c>
      <c r="T10" t="str">
        <v>2011</v>
      </c>
    </row>
    <row r="11" spans="1:20" x14ac:dyDescent="0.35">
      <c r="A11" s="11" t="s">
        <v>31</v>
      </c>
      <c r="B11">
        <v>5.2839999999999998</v>
      </c>
      <c r="C11" s="67">
        <v>2.161</v>
      </c>
      <c r="D11" s="67">
        <v>48</v>
      </c>
      <c r="E11">
        <v>1.8660000000000001</v>
      </c>
      <c r="F11">
        <v>473</v>
      </c>
      <c r="G11" s="67">
        <v>20</v>
      </c>
      <c r="H11" s="67">
        <v>119</v>
      </c>
      <c r="I11" s="67">
        <v>3.3879999999999999</v>
      </c>
      <c r="J11" s="67">
        <v>1.141</v>
      </c>
      <c r="K11" s="67">
        <v>349</v>
      </c>
      <c r="L11">
        <v>486</v>
      </c>
      <c r="M11">
        <v>3.0569999999999999</v>
      </c>
      <c r="N11">
        <v>495</v>
      </c>
      <c r="O11">
        <v>459</v>
      </c>
      <c r="P11">
        <v>323</v>
      </c>
      <c r="Q11">
        <v>381</v>
      </c>
      <c r="R11">
        <v>720</v>
      </c>
      <c r="S11">
        <f t="shared" si="0"/>
        <v>3889.8969999999999</v>
      </c>
      <c r="T11" t="str">
        <v>2012</v>
      </c>
    </row>
    <row r="12" spans="1:20" x14ac:dyDescent="0.35">
      <c r="A12" s="11" t="s">
        <v>35</v>
      </c>
      <c r="B12">
        <v>5.3780000000000001</v>
      </c>
      <c r="C12" s="67">
        <v>2.19</v>
      </c>
      <c r="D12" s="67">
        <v>57</v>
      </c>
      <c r="E12">
        <v>1.7609999999999999</v>
      </c>
      <c r="F12">
        <v>631</v>
      </c>
      <c r="G12" s="67">
        <v>30</v>
      </c>
      <c r="H12" s="67">
        <v>136</v>
      </c>
      <c r="I12" s="67">
        <v>3.448</v>
      </c>
      <c r="J12" s="67">
        <v>1.139</v>
      </c>
      <c r="K12" s="67">
        <v>384</v>
      </c>
      <c r="L12">
        <v>500</v>
      </c>
      <c r="M12">
        <v>3.1920000000000002</v>
      </c>
      <c r="N12">
        <v>611</v>
      </c>
      <c r="O12">
        <v>497</v>
      </c>
      <c r="P12">
        <v>332</v>
      </c>
      <c r="Q12">
        <v>412</v>
      </c>
      <c r="R12">
        <v>768</v>
      </c>
      <c r="S12">
        <f t="shared" si="0"/>
        <v>4375.1080000000002</v>
      </c>
      <c r="T12" t="str">
        <v>2013</v>
      </c>
    </row>
    <row r="13" spans="1:20" x14ac:dyDescent="0.35">
      <c r="A13" s="11" t="s">
        <v>39</v>
      </c>
      <c r="B13">
        <v>4.7549999999999999</v>
      </c>
      <c r="C13" s="67">
        <v>2.3050000000000002</v>
      </c>
      <c r="D13" s="67">
        <v>69</v>
      </c>
      <c r="E13">
        <v>1.774</v>
      </c>
      <c r="F13">
        <v>613</v>
      </c>
      <c r="G13" s="67">
        <v>47</v>
      </c>
      <c r="H13" s="67">
        <v>140</v>
      </c>
      <c r="I13" s="67">
        <v>3.8479999999999999</v>
      </c>
      <c r="J13" s="67">
        <v>1.1619999999999999</v>
      </c>
      <c r="K13" s="67">
        <v>398</v>
      </c>
      <c r="L13">
        <v>509</v>
      </c>
      <c r="M13">
        <v>3.9039999999999999</v>
      </c>
      <c r="N13">
        <v>465</v>
      </c>
      <c r="O13">
        <v>522</v>
      </c>
      <c r="P13">
        <v>360</v>
      </c>
      <c r="Q13">
        <v>439</v>
      </c>
      <c r="R13">
        <v>779</v>
      </c>
      <c r="S13">
        <f t="shared" si="0"/>
        <v>4358.7479999999996</v>
      </c>
      <c r="T13" t="str">
        <v>2014</v>
      </c>
    </row>
    <row r="14" spans="1:20" x14ac:dyDescent="0.35">
      <c r="A14" s="11" t="s">
        <v>43</v>
      </c>
      <c r="B14">
        <v>4.8970000000000002</v>
      </c>
      <c r="C14" s="67">
        <v>2.379</v>
      </c>
      <c r="D14" s="67">
        <v>48</v>
      </c>
      <c r="E14">
        <v>1.768</v>
      </c>
      <c r="F14">
        <v>653</v>
      </c>
      <c r="G14" s="67">
        <v>73</v>
      </c>
      <c r="H14" s="67">
        <v>155</v>
      </c>
      <c r="I14" s="67">
        <v>2.403</v>
      </c>
      <c r="J14" s="67">
        <v>1.1339999999999999</v>
      </c>
      <c r="K14" s="67">
        <v>422</v>
      </c>
      <c r="L14">
        <v>473</v>
      </c>
      <c r="M14">
        <v>3.919</v>
      </c>
      <c r="N14">
        <v>532</v>
      </c>
      <c r="O14">
        <v>590</v>
      </c>
      <c r="P14">
        <v>382</v>
      </c>
      <c r="Q14">
        <v>429</v>
      </c>
      <c r="R14">
        <v>759</v>
      </c>
      <c r="S14">
        <f t="shared" si="0"/>
        <v>4532.5</v>
      </c>
      <c r="T14" t="str">
        <v>2015</v>
      </c>
    </row>
    <row r="15" spans="1:20" x14ac:dyDescent="0.35">
      <c r="A15" s="11" t="s">
        <v>47</v>
      </c>
      <c r="B15">
        <v>4.8849999999999998</v>
      </c>
      <c r="C15" s="67">
        <v>2.4950000000000001</v>
      </c>
      <c r="D15" s="67">
        <v>81</v>
      </c>
      <c r="E15">
        <v>1.964</v>
      </c>
      <c r="F15">
        <v>695</v>
      </c>
      <c r="G15" s="67">
        <v>116</v>
      </c>
      <c r="H15" s="67">
        <v>171</v>
      </c>
      <c r="I15" s="67">
        <v>2.375</v>
      </c>
      <c r="J15" s="67">
        <v>1.9039999999999999</v>
      </c>
      <c r="K15" s="67">
        <v>454</v>
      </c>
      <c r="L15">
        <v>471</v>
      </c>
      <c r="M15">
        <v>4.2949999999999999</v>
      </c>
      <c r="N15">
        <v>595</v>
      </c>
      <c r="O15">
        <v>697</v>
      </c>
      <c r="P15">
        <v>418</v>
      </c>
      <c r="Q15">
        <v>425</v>
      </c>
      <c r="R15">
        <v>615</v>
      </c>
      <c r="S15">
        <f t="shared" si="0"/>
        <v>4755.9179999999997</v>
      </c>
      <c r="T15" t="str">
        <v>2016</v>
      </c>
    </row>
    <row r="16" spans="1:20" x14ac:dyDescent="0.35">
      <c r="A16" s="11" t="s">
        <v>51</v>
      </c>
      <c r="B16">
        <v>6.335</v>
      </c>
      <c r="C16" s="67">
        <v>2.9550000000000001</v>
      </c>
      <c r="D16" s="67">
        <v>102</v>
      </c>
      <c r="E16">
        <v>2.16</v>
      </c>
      <c r="F16">
        <v>734</v>
      </c>
      <c r="G16" s="67">
        <v>142</v>
      </c>
      <c r="H16" s="67">
        <v>197</v>
      </c>
      <c r="I16" s="67">
        <v>2.4750000000000001</v>
      </c>
      <c r="J16" s="67">
        <v>1.972</v>
      </c>
      <c r="K16" s="67">
        <v>514</v>
      </c>
      <c r="L16">
        <v>500</v>
      </c>
      <c r="M16">
        <v>4.7649999999999997</v>
      </c>
      <c r="N16">
        <v>680</v>
      </c>
      <c r="O16">
        <v>884</v>
      </c>
      <c r="P16">
        <v>462</v>
      </c>
      <c r="Q16">
        <v>488</v>
      </c>
      <c r="R16">
        <v>663</v>
      </c>
      <c r="S16">
        <f t="shared" si="0"/>
        <v>5386.6620000000003</v>
      </c>
      <c r="T16" t="str">
        <v>2017</v>
      </c>
    </row>
    <row r="17" spans="1:20" x14ac:dyDescent="0.35">
      <c r="A17" s="11" t="s">
        <v>55</v>
      </c>
      <c r="B17">
        <v>7.39</v>
      </c>
      <c r="C17" s="67">
        <v>3.2410000000000001</v>
      </c>
      <c r="D17" s="67">
        <v>124</v>
      </c>
      <c r="E17">
        <v>2.379</v>
      </c>
      <c r="F17">
        <v>791</v>
      </c>
      <c r="G17" s="67">
        <v>184</v>
      </c>
      <c r="H17" s="67">
        <v>213</v>
      </c>
      <c r="I17" s="67">
        <v>2.677</v>
      </c>
      <c r="J17" s="67">
        <v>2.0179999999999998</v>
      </c>
      <c r="K17" s="67">
        <v>592</v>
      </c>
      <c r="L17">
        <v>552</v>
      </c>
      <c r="M17">
        <v>5.8529999999999998</v>
      </c>
      <c r="N17">
        <v>848</v>
      </c>
      <c r="O17">
        <v>895</v>
      </c>
      <c r="P17">
        <v>538</v>
      </c>
      <c r="Q17">
        <v>587</v>
      </c>
      <c r="R17">
        <v>730</v>
      </c>
      <c r="S17">
        <f t="shared" si="0"/>
        <v>6077.558</v>
      </c>
      <c r="T17" t="str">
        <v>2018</v>
      </c>
    </row>
    <row r="18" spans="1:20" x14ac:dyDescent="0.35">
      <c r="A18" s="11" t="s">
        <v>59</v>
      </c>
      <c r="B18">
        <v>7.5350000000000001</v>
      </c>
      <c r="C18" s="67">
        <v>3.516</v>
      </c>
      <c r="D18" s="67">
        <v>160</v>
      </c>
      <c r="E18">
        <v>2.4929999999999999</v>
      </c>
      <c r="F18">
        <v>831</v>
      </c>
      <c r="G18" s="67">
        <v>281</v>
      </c>
      <c r="H18" s="67">
        <v>232</v>
      </c>
      <c r="I18" s="67">
        <v>2.6320000000000001</v>
      </c>
      <c r="J18" s="67">
        <v>1.976</v>
      </c>
      <c r="K18" s="67">
        <v>662</v>
      </c>
      <c r="L18">
        <v>554</v>
      </c>
      <c r="M18">
        <v>6.125</v>
      </c>
      <c r="N18">
        <v>974</v>
      </c>
      <c r="O18">
        <v>993</v>
      </c>
      <c r="P18">
        <v>576</v>
      </c>
      <c r="Q18">
        <v>614</v>
      </c>
      <c r="R18">
        <v>779</v>
      </c>
      <c r="S18">
        <f t="shared" si="0"/>
        <v>6680.277</v>
      </c>
      <c r="T18" t="str">
        <v>2019</v>
      </c>
    </row>
    <row r="19" spans="1:20" x14ac:dyDescent="0.35">
      <c r="A19" s="11" t="s">
        <v>4</v>
      </c>
      <c r="B19">
        <v>5.524</v>
      </c>
      <c r="C19" s="67">
        <v>1.2190000000000001</v>
      </c>
      <c r="D19" s="67">
        <v>0</v>
      </c>
      <c r="E19">
        <v>1.617</v>
      </c>
      <c r="F19">
        <v>69</v>
      </c>
      <c r="G19" s="67">
        <v>0</v>
      </c>
      <c r="H19" s="67">
        <v>0</v>
      </c>
      <c r="I19" s="67">
        <v>2.577</v>
      </c>
      <c r="J19" s="67">
        <v>847</v>
      </c>
      <c r="K19" s="67">
        <v>125</v>
      </c>
      <c r="L19">
        <v>291</v>
      </c>
      <c r="M19">
        <v>654</v>
      </c>
      <c r="N19">
        <v>53</v>
      </c>
      <c r="O19">
        <v>258</v>
      </c>
      <c r="P19">
        <v>161</v>
      </c>
      <c r="Q19">
        <v>657</v>
      </c>
      <c r="R19">
        <v>347</v>
      </c>
      <c r="S19">
        <f t="shared" si="0"/>
        <v>3472.9369999999999</v>
      </c>
      <c r="T19" t="str">
        <v>2005</v>
      </c>
    </row>
    <row r="20" spans="1:20" x14ac:dyDescent="0.35">
      <c r="A20" s="11" t="s">
        <v>8</v>
      </c>
      <c r="B20">
        <v>5.5010000000000003</v>
      </c>
      <c r="C20" s="67">
        <v>1.262</v>
      </c>
      <c r="D20" s="67">
        <v>1</v>
      </c>
      <c r="E20">
        <v>2.11</v>
      </c>
      <c r="F20">
        <v>101</v>
      </c>
      <c r="G20" s="67">
        <v>0</v>
      </c>
      <c r="H20" s="67">
        <v>0</v>
      </c>
      <c r="I20" s="67">
        <v>2.649</v>
      </c>
      <c r="J20" s="67">
        <v>882</v>
      </c>
      <c r="K20" s="67">
        <v>171</v>
      </c>
      <c r="L20">
        <v>318</v>
      </c>
      <c r="M20">
        <v>714</v>
      </c>
      <c r="N20">
        <v>87</v>
      </c>
      <c r="O20">
        <v>267</v>
      </c>
      <c r="P20">
        <v>191</v>
      </c>
      <c r="Q20">
        <v>650</v>
      </c>
      <c r="R20">
        <v>396</v>
      </c>
      <c r="S20">
        <f t="shared" si="0"/>
        <v>3789.5219999999999</v>
      </c>
      <c r="T20" t="str">
        <v>2006</v>
      </c>
    </row>
    <row r="21" spans="1:20" x14ac:dyDescent="0.35">
      <c r="A21" s="11" t="s">
        <v>12</v>
      </c>
      <c r="B21">
        <v>6.3710000000000004</v>
      </c>
      <c r="C21" s="67">
        <v>1.464</v>
      </c>
      <c r="D21" s="67">
        <v>3</v>
      </c>
      <c r="E21">
        <v>2.0710000000000002</v>
      </c>
      <c r="F21">
        <v>181</v>
      </c>
      <c r="G21" s="67">
        <v>1</v>
      </c>
      <c r="H21" s="67">
        <v>64</v>
      </c>
      <c r="I21" s="67">
        <v>2.8290000000000002</v>
      </c>
      <c r="J21" s="67">
        <v>971</v>
      </c>
      <c r="K21" s="67">
        <v>191</v>
      </c>
      <c r="L21">
        <v>339</v>
      </c>
      <c r="M21">
        <v>2.3860000000000001</v>
      </c>
      <c r="N21">
        <v>140</v>
      </c>
      <c r="O21">
        <v>273</v>
      </c>
      <c r="P21">
        <v>237</v>
      </c>
      <c r="Q21">
        <v>452</v>
      </c>
      <c r="R21">
        <v>424</v>
      </c>
      <c r="S21">
        <f t="shared" si="0"/>
        <v>3291.1210000000001</v>
      </c>
      <c r="T21" t="str">
        <v>2007</v>
      </c>
    </row>
    <row r="22" spans="1:20" x14ac:dyDescent="0.35">
      <c r="A22" s="11" t="s">
        <v>16</v>
      </c>
      <c r="B22">
        <v>7.3140000000000001</v>
      </c>
      <c r="C22" s="67">
        <v>1.7130000000000001</v>
      </c>
      <c r="D22" s="67">
        <v>7</v>
      </c>
      <c r="E22">
        <v>2.024</v>
      </c>
      <c r="F22">
        <v>431</v>
      </c>
      <c r="G22" s="67">
        <v>2</v>
      </c>
      <c r="H22" s="67">
        <v>75</v>
      </c>
      <c r="I22" s="67">
        <v>3.1890000000000001</v>
      </c>
      <c r="J22" s="67">
        <v>1.08</v>
      </c>
      <c r="K22" s="67">
        <v>235</v>
      </c>
      <c r="L22">
        <v>452</v>
      </c>
      <c r="M22">
        <v>2.71</v>
      </c>
      <c r="N22">
        <v>219</v>
      </c>
      <c r="O22">
        <v>328</v>
      </c>
      <c r="P22">
        <v>281</v>
      </c>
      <c r="Q22">
        <v>560</v>
      </c>
      <c r="R22">
        <v>507</v>
      </c>
      <c r="S22">
        <f t="shared" si="0"/>
        <v>3115.0299999999997</v>
      </c>
      <c r="T22" t="str">
        <v>2008</v>
      </c>
    </row>
    <row r="23" spans="1:20" x14ac:dyDescent="0.35">
      <c r="A23" s="11" t="s">
        <v>20</v>
      </c>
      <c r="B23">
        <v>7.4950000000000001</v>
      </c>
      <c r="C23" s="67">
        <v>1.6339999999999999</v>
      </c>
      <c r="D23" s="67">
        <v>15</v>
      </c>
      <c r="E23">
        <v>2.0739999999999998</v>
      </c>
      <c r="F23">
        <v>402</v>
      </c>
      <c r="G23" s="67">
        <v>7</v>
      </c>
      <c r="H23" s="67">
        <v>84</v>
      </c>
      <c r="I23" s="67">
        <v>3.1230000000000002</v>
      </c>
      <c r="J23" s="67">
        <v>1.02</v>
      </c>
      <c r="K23" s="67">
        <v>252</v>
      </c>
      <c r="L23">
        <v>427</v>
      </c>
      <c r="M23">
        <v>2.484</v>
      </c>
      <c r="N23">
        <v>261</v>
      </c>
      <c r="O23">
        <v>336</v>
      </c>
      <c r="P23">
        <v>266</v>
      </c>
      <c r="Q23">
        <v>439</v>
      </c>
      <c r="R23">
        <v>510</v>
      </c>
      <c r="S23">
        <f t="shared" si="0"/>
        <v>3016.83</v>
      </c>
      <c r="T23" t="str">
        <v>2009</v>
      </c>
    </row>
    <row r="24" spans="1:20" x14ac:dyDescent="0.35">
      <c r="A24" s="11" t="s">
        <v>24</v>
      </c>
      <c r="B24">
        <v>8.8260000000000005</v>
      </c>
      <c r="C24" s="67">
        <v>1.758</v>
      </c>
      <c r="D24" s="67">
        <v>23</v>
      </c>
      <c r="E24">
        <v>1.9279999999999999</v>
      </c>
      <c r="F24">
        <v>418</v>
      </c>
      <c r="G24" s="67">
        <v>12</v>
      </c>
      <c r="H24" s="67">
        <v>100</v>
      </c>
      <c r="I24" s="67">
        <v>3.194</v>
      </c>
      <c r="J24" s="67">
        <v>1.0580000000000001</v>
      </c>
      <c r="K24" s="67">
        <v>292</v>
      </c>
      <c r="L24">
        <v>468</v>
      </c>
      <c r="M24">
        <v>2.5960000000000001</v>
      </c>
      <c r="N24">
        <v>351</v>
      </c>
      <c r="O24">
        <v>365</v>
      </c>
      <c r="P24">
        <v>281</v>
      </c>
      <c r="Q24">
        <v>358</v>
      </c>
      <c r="R24">
        <v>578</v>
      </c>
      <c r="S24">
        <f t="shared" si="0"/>
        <v>3265.3599999999997</v>
      </c>
      <c r="T24" t="str">
        <v>2010</v>
      </c>
    </row>
    <row r="25" spans="1:20" x14ac:dyDescent="0.35">
      <c r="A25" s="11" t="s">
        <v>28</v>
      </c>
      <c r="B25">
        <v>9.6159999999999997</v>
      </c>
      <c r="C25" s="67">
        <v>2.0459999999999998</v>
      </c>
      <c r="D25" s="67">
        <v>32</v>
      </c>
      <c r="E25">
        <v>1.9750000000000001</v>
      </c>
      <c r="F25">
        <v>439</v>
      </c>
      <c r="G25" s="67">
        <v>21</v>
      </c>
      <c r="H25" s="67">
        <v>110</v>
      </c>
      <c r="I25" s="67">
        <v>3.536</v>
      </c>
      <c r="J25" s="67">
        <v>1.137</v>
      </c>
      <c r="K25" s="67">
        <v>342</v>
      </c>
      <c r="L25">
        <v>522</v>
      </c>
      <c r="M25">
        <v>2.8540000000000001</v>
      </c>
      <c r="N25">
        <v>426</v>
      </c>
      <c r="O25">
        <v>431</v>
      </c>
      <c r="P25">
        <v>318</v>
      </c>
      <c r="Q25">
        <v>381</v>
      </c>
      <c r="R25">
        <v>649</v>
      </c>
      <c r="S25">
        <f t="shared" si="0"/>
        <v>3692.1639999999998</v>
      </c>
      <c r="T25" t="str">
        <v>2011</v>
      </c>
    </row>
    <row r="26" spans="1:20" x14ac:dyDescent="0.35">
      <c r="A26" s="11" t="s">
        <v>32</v>
      </c>
      <c r="B26">
        <v>5.3129999999999997</v>
      </c>
      <c r="C26" s="67">
        <v>2.1059999999999999</v>
      </c>
      <c r="D26" s="67">
        <v>51</v>
      </c>
      <c r="E26">
        <v>1.8280000000000001</v>
      </c>
      <c r="F26">
        <v>471</v>
      </c>
      <c r="G26" s="67">
        <v>23</v>
      </c>
      <c r="H26" s="67">
        <v>123</v>
      </c>
      <c r="I26" s="67">
        <v>3.5720000000000001</v>
      </c>
      <c r="J26" s="67">
        <v>1.125</v>
      </c>
      <c r="K26" s="67">
        <v>372</v>
      </c>
      <c r="L26">
        <v>510</v>
      </c>
      <c r="M26">
        <v>3.1080000000000001</v>
      </c>
      <c r="N26">
        <v>537</v>
      </c>
      <c r="O26">
        <v>482</v>
      </c>
      <c r="P26">
        <v>336</v>
      </c>
      <c r="Q26">
        <v>383</v>
      </c>
      <c r="R26">
        <v>705</v>
      </c>
      <c r="S26">
        <f t="shared" si="0"/>
        <v>4010.0519999999997</v>
      </c>
      <c r="T26" t="str">
        <v>2012</v>
      </c>
    </row>
    <row r="27" spans="1:20" x14ac:dyDescent="0.35">
      <c r="A27" s="11" t="s">
        <v>36</v>
      </c>
      <c r="B27">
        <v>5.4459999999999997</v>
      </c>
      <c r="C27" s="67">
        <v>2.2120000000000002</v>
      </c>
      <c r="D27" s="67">
        <v>60</v>
      </c>
      <c r="E27">
        <v>1.8089999999999999</v>
      </c>
      <c r="F27">
        <v>613</v>
      </c>
      <c r="G27" s="67">
        <v>36</v>
      </c>
      <c r="H27" s="67">
        <v>137</v>
      </c>
      <c r="I27" s="67">
        <v>3.669</v>
      </c>
      <c r="J27" s="67">
        <v>1.17</v>
      </c>
      <c r="K27" s="67">
        <v>415</v>
      </c>
      <c r="L27">
        <v>525</v>
      </c>
      <c r="M27">
        <v>3.24</v>
      </c>
      <c r="N27">
        <v>579</v>
      </c>
      <c r="O27">
        <v>517</v>
      </c>
      <c r="P27">
        <v>353</v>
      </c>
      <c r="Q27">
        <v>420</v>
      </c>
      <c r="R27">
        <v>726</v>
      </c>
      <c r="S27">
        <f t="shared" si="0"/>
        <v>4398.5460000000003</v>
      </c>
      <c r="T27" t="str">
        <v>2013</v>
      </c>
    </row>
    <row r="28" spans="1:20" x14ac:dyDescent="0.35">
      <c r="A28" s="11" t="s">
        <v>40</v>
      </c>
      <c r="B28">
        <v>5.0570000000000004</v>
      </c>
      <c r="C28" s="67">
        <v>2.363</v>
      </c>
      <c r="D28" s="67">
        <v>72</v>
      </c>
      <c r="E28">
        <v>1.873</v>
      </c>
      <c r="F28">
        <v>625</v>
      </c>
      <c r="G28" s="67">
        <v>59</v>
      </c>
      <c r="H28" s="67">
        <v>141</v>
      </c>
      <c r="I28" s="67">
        <v>4.1539999999999999</v>
      </c>
      <c r="J28" s="67">
        <v>1.1830000000000001</v>
      </c>
      <c r="K28" s="67">
        <v>415</v>
      </c>
      <c r="L28">
        <v>537</v>
      </c>
      <c r="M28">
        <v>4.3220000000000001</v>
      </c>
      <c r="N28">
        <v>512</v>
      </c>
      <c r="O28">
        <v>575</v>
      </c>
      <c r="P28">
        <v>390</v>
      </c>
      <c r="Q28">
        <v>468</v>
      </c>
      <c r="R28">
        <v>748</v>
      </c>
      <c r="S28">
        <f t="shared" si="0"/>
        <v>4560.9520000000002</v>
      </c>
      <c r="T28" t="str">
        <v>2014</v>
      </c>
    </row>
    <row r="29" spans="1:20" x14ac:dyDescent="0.35">
      <c r="A29" s="11" t="s">
        <v>44</v>
      </c>
      <c r="B29">
        <v>5.17</v>
      </c>
      <c r="C29" s="67">
        <v>2.4319999999999999</v>
      </c>
      <c r="D29" s="67">
        <v>61</v>
      </c>
      <c r="E29">
        <v>1.843</v>
      </c>
      <c r="F29">
        <v>656</v>
      </c>
      <c r="G29" s="67">
        <v>93</v>
      </c>
      <c r="H29" s="67">
        <v>156</v>
      </c>
      <c r="I29" s="67">
        <v>2.4750000000000001</v>
      </c>
      <c r="J29" s="67">
        <v>1.1679999999999999</v>
      </c>
      <c r="K29" s="67">
        <v>453</v>
      </c>
      <c r="L29">
        <v>506</v>
      </c>
      <c r="M29">
        <v>4.2709999999999999</v>
      </c>
      <c r="N29">
        <v>586</v>
      </c>
      <c r="O29">
        <v>617</v>
      </c>
      <c r="P29">
        <v>413</v>
      </c>
      <c r="Q29">
        <v>452</v>
      </c>
      <c r="R29">
        <v>784</v>
      </c>
      <c r="S29">
        <f t="shared" si="0"/>
        <v>4794.3590000000004</v>
      </c>
      <c r="T29" t="str">
        <v>2015</v>
      </c>
    </row>
    <row r="30" spans="1:20" x14ac:dyDescent="0.35">
      <c r="A30" s="11" t="s">
        <v>48</v>
      </c>
      <c r="B30">
        <v>5.3330000000000002</v>
      </c>
      <c r="C30" s="67">
        <v>2.84</v>
      </c>
      <c r="D30" s="67">
        <v>87</v>
      </c>
      <c r="E30">
        <v>2.1259999999999999</v>
      </c>
      <c r="F30">
        <v>693</v>
      </c>
      <c r="G30" s="67">
        <v>137</v>
      </c>
      <c r="H30" s="67">
        <v>173</v>
      </c>
      <c r="I30" s="67">
        <v>2.585</v>
      </c>
      <c r="J30" s="67">
        <v>1.9339999999999999</v>
      </c>
      <c r="K30" s="67">
        <v>519</v>
      </c>
      <c r="L30">
        <v>517</v>
      </c>
      <c r="M30">
        <v>4.5350000000000001</v>
      </c>
      <c r="N30">
        <v>670</v>
      </c>
      <c r="O30">
        <v>759</v>
      </c>
      <c r="P30">
        <v>467</v>
      </c>
      <c r="Q30">
        <v>474</v>
      </c>
      <c r="R30">
        <v>643</v>
      </c>
      <c r="S30">
        <f t="shared" si="0"/>
        <v>5158.3530000000001</v>
      </c>
      <c r="T30" t="str">
        <v>2016</v>
      </c>
    </row>
    <row r="31" spans="1:20" x14ac:dyDescent="0.35">
      <c r="A31" s="11" t="s">
        <v>52</v>
      </c>
      <c r="B31">
        <v>6.6369999999999996</v>
      </c>
      <c r="C31" s="67">
        <v>3.012</v>
      </c>
      <c r="D31" s="67">
        <v>110</v>
      </c>
      <c r="E31">
        <v>2.2570000000000001</v>
      </c>
      <c r="F31">
        <v>715</v>
      </c>
      <c r="G31" s="67">
        <v>171</v>
      </c>
      <c r="H31" s="67">
        <v>192</v>
      </c>
      <c r="I31" s="67">
        <v>2.605</v>
      </c>
      <c r="J31" s="67">
        <v>1.95</v>
      </c>
      <c r="K31" s="67">
        <v>557</v>
      </c>
      <c r="L31">
        <v>505</v>
      </c>
      <c r="M31">
        <v>4.99</v>
      </c>
      <c r="N31">
        <v>759</v>
      </c>
      <c r="O31">
        <v>842</v>
      </c>
      <c r="P31">
        <v>509</v>
      </c>
      <c r="Q31">
        <v>529</v>
      </c>
      <c r="R31">
        <v>633</v>
      </c>
      <c r="S31">
        <f t="shared" si="0"/>
        <v>5543.451</v>
      </c>
      <c r="T31" t="str">
        <v>2017</v>
      </c>
    </row>
    <row r="32" spans="1:20" x14ac:dyDescent="0.35">
      <c r="A32" s="11" t="s">
        <v>56</v>
      </c>
      <c r="B32">
        <v>7.7670000000000003</v>
      </c>
      <c r="C32" s="67">
        <v>3.3220000000000001</v>
      </c>
      <c r="D32" s="67">
        <v>124</v>
      </c>
      <c r="E32">
        <v>2.4900000000000002</v>
      </c>
      <c r="F32">
        <v>789</v>
      </c>
      <c r="G32" s="67">
        <v>243</v>
      </c>
      <c r="H32" s="67">
        <v>212</v>
      </c>
      <c r="I32" s="67">
        <v>2.8420000000000001</v>
      </c>
      <c r="J32" s="67">
        <v>2.008</v>
      </c>
      <c r="K32" s="67">
        <v>624</v>
      </c>
      <c r="L32">
        <v>576</v>
      </c>
      <c r="M32">
        <v>6.0780000000000003</v>
      </c>
      <c r="N32">
        <v>909</v>
      </c>
      <c r="O32">
        <v>944</v>
      </c>
      <c r="P32">
        <v>581</v>
      </c>
      <c r="Q32">
        <v>610</v>
      </c>
      <c r="R32">
        <v>709</v>
      </c>
      <c r="S32">
        <f t="shared" si="0"/>
        <v>6345.5069999999996</v>
      </c>
      <c r="T32" t="str">
        <v>2018</v>
      </c>
    </row>
    <row r="33" spans="1:20" x14ac:dyDescent="0.35">
      <c r="A33" s="11" t="s">
        <v>60</v>
      </c>
      <c r="B33">
        <v>7.9790000000000001</v>
      </c>
      <c r="C33" s="67">
        <v>3.65</v>
      </c>
      <c r="D33" s="67">
        <v>177</v>
      </c>
      <c r="E33">
        <v>2.6309999999999998</v>
      </c>
      <c r="F33">
        <v>818</v>
      </c>
      <c r="G33" s="67">
        <v>336</v>
      </c>
      <c r="H33" s="67">
        <v>230</v>
      </c>
      <c r="I33" s="67">
        <v>2.84</v>
      </c>
      <c r="J33" s="67">
        <v>1.9890000000000001</v>
      </c>
      <c r="K33" s="67">
        <v>705</v>
      </c>
      <c r="L33">
        <v>573</v>
      </c>
      <c r="M33">
        <v>6.3159999999999998</v>
      </c>
      <c r="N33">
        <v>1.099</v>
      </c>
      <c r="O33">
        <v>1.087</v>
      </c>
      <c r="P33">
        <v>620</v>
      </c>
      <c r="Q33">
        <v>653</v>
      </c>
      <c r="R33">
        <v>826</v>
      </c>
      <c r="S33">
        <f t="shared" si="0"/>
        <v>4965.5910000000003</v>
      </c>
      <c r="T33" t="str">
        <v>2019</v>
      </c>
    </row>
    <row r="34" spans="1:20" x14ac:dyDescent="0.35">
      <c r="A34" s="11" t="s">
        <v>5</v>
      </c>
      <c r="B34">
        <v>5.3840000000000003</v>
      </c>
      <c r="C34" s="67">
        <v>1.1719999999999999</v>
      </c>
      <c r="D34" s="67">
        <v>0</v>
      </c>
      <c r="E34">
        <v>1.5109999999999999</v>
      </c>
      <c r="F34">
        <v>74</v>
      </c>
      <c r="G34" s="67">
        <v>0</v>
      </c>
      <c r="H34" s="67">
        <v>0</v>
      </c>
      <c r="I34" s="67">
        <v>2.3980000000000001</v>
      </c>
      <c r="J34" s="67">
        <v>763</v>
      </c>
      <c r="K34" s="67">
        <v>127</v>
      </c>
      <c r="L34">
        <v>283</v>
      </c>
      <c r="M34">
        <v>679</v>
      </c>
      <c r="N34">
        <v>61</v>
      </c>
      <c r="O34">
        <v>241</v>
      </c>
      <c r="P34">
        <v>158</v>
      </c>
      <c r="Q34">
        <v>587</v>
      </c>
      <c r="R34">
        <v>386</v>
      </c>
      <c r="S34">
        <f t="shared" si="0"/>
        <v>3369.4650000000001</v>
      </c>
      <c r="T34" t="str">
        <v>2005</v>
      </c>
    </row>
    <row r="35" spans="1:20" x14ac:dyDescent="0.35">
      <c r="A35" s="11" t="s">
        <v>9</v>
      </c>
      <c r="B35">
        <v>5.5739999999999998</v>
      </c>
      <c r="C35" s="67">
        <v>1.2310000000000001</v>
      </c>
      <c r="D35" s="67">
        <v>1</v>
      </c>
      <c r="E35">
        <v>2.0259999999999998</v>
      </c>
      <c r="F35">
        <v>120</v>
      </c>
      <c r="G35" s="67">
        <v>1</v>
      </c>
      <c r="H35" s="67">
        <v>56</v>
      </c>
      <c r="I35" s="67">
        <v>2.5569999999999999</v>
      </c>
      <c r="J35" s="67">
        <v>820</v>
      </c>
      <c r="K35" s="67">
        <v>164</v>
      </c>
      <c r="L35">
        <v>305</v>
      </c>
      <c r="M35">
        <v>725</v>
      </c>
      <c r="N35">
        <v>96</v>
      </c>
      <c r="O35">
        <v>247</v>
      </c>
      <c r="P35">
        <v>187</v>
      </c>
      <c r="Q35">
        <v>606</v>
      </c>
      <c r="R35">
        <v>454</v>
      </c>
      <c r="S35">
        <f t="shared" si="0"/>
        <v>3793.3879999999999</v>
      </c>
      <c r="T35" t="str">
        <v>2006</v>
      </c>
    </row>
    <row r="36" spans="1:20" x14ac:dyDescent="0.35">
      <c r="A36" s="11" t="s">
        <v>13</v>
      </c>
      <c r="B36">
        <v>6.3769999999999998</v>
      </c>
      <c r="C36" s="67">
        <v>1.4530000000000001</v>
      </c>
      <c r="D36" s="67">
        <v>4</v>
      </c>
      <c r="E36">
        <v>2.048</v>
      </c>
      <c r="F36">
        <v>192</v>
      </c>
      <c r="G36" s="67">
        <v>1</v>
      </c>
      <c r="H36" s="67">
        <v>64</v>
      </c>
      <c r="I36" s="67">
        <v>2.75</v>
      </c>
      <c r="J36" s="67">
        <v>903</v>
      </c>
      <c r="K36" s="67">
        <v>186</v>
      </c>
      <c r="L36">
        <v>340</v>
      </c>
      <c r="M36">
        <v>2.4009999999999998</v>
      </c>
      <c r="N36">
        <v>157</v>
      </c>
      <c r="O36">
        <v>261</v>
      </c>
      <c r="P36">
        <v>229</v>
      </c>
      <c r="Q36">
        <v>459</v>
      </c>
      <c r="R36">
        <v>501</v>
      </c>
      <c r="S36">
        <f t="shared" si="0"/>
        <v>3312.029</v>
      </c>
      <c r="T36" t="str">
        <v>2007</v>
      </c>
    </row>
    <row r="37" spans="1:20" x14ac:dyDescent="0.35">
      <c r="A37" s="11" t="s">
        <v>17</v>
      </c>
      <c r="B37">
        <v>7.4980000000000002</v>
      </c>
      <c r="C37" s="67">
        <v>1.653</v>
      </c>
      <c r="D37" s="67">
        <v>10</v>
      </c>
      <c r="E37">
        <v>1.978</v>
      </c>
      <c r="F37">
        <v>429</v>
      </c>
      <c r="G37" s="67">
        <v>2</v>
      </c>
      <c r="H37" s="67">
        <v>78</v>
      </c>
      <c r="I37" s="67">
        <v>3.1509999999999998</v>
      </c>
      <c r="J37" s="67">
        <v>952</v>
      </c>
      <c r="K37" s="67">
        <v>218</v>
      </c>
      <c r="L37">
        <v>442</v>
      </c>
      <c r="M37">
        <v>2.5880000000000001</v>
      </c>
      <c r="N37">
        <v>236</v>
      </c>
      <c r="O37">
        <v>304</v>
      </c>
      <c r="P37">
        <v>251</v>
      </c>
      <c r="Q37">
        <v>504</v>
      </c>
      <c r="R37">
        <v>593</v>
      </c>
      <c r="S37">
        <f t="shared" si="0"/>
        <v>4035.8679999999999</v>
      </c>
      <c r="T37" t="str">
        <v>2008</v>
      </c>
    </row>
    <row r="38" spans="1:20" x14ac:dyDescent="0.35">
      <c r="A38" s="11" t="s">
        <v>21</v>
      </c>
      <c r="B38">
        <v>7.7610000000000001</v>
      </c>
      <c r="C38" s="67">
        <v>1.653</v>
      </c>
      <c r="D38" s="67">
        <v>19</v>
      </c>
      <c r="E38">
        <v>2.0249999999999999</v>
      </c>
      <c r="F38">
        <v>403</v>
      </c>
      <c r="G38" s="67">
        <v>7</v>
      </c>
      <c r="H38" s="67">
        <v>87</v>
      </c>
      <c r="I38" s="67">
        <v>3.145</v>
      </c>
      <c r="J38" s="67">
        <v>976</v>
      </c>
      <c r="K38" s="67">
        <v>247</v>
      </c>
      <c r="L38">
        <v>461</v>
      </c>
      <c r="M38">
        <v>2.5310000000000001</v>
      </c>
      <c r="N38">
        <v>280</v>
      </c>
      <c r="O38">
        <v>326</v>
      </c>
      <c r="P38">
        <v>259</v>
      </c>
      <c r="Q38">
        <v>441</v>
      </c>
      <c r="R38">
        <v>642</v>
      </c>
      <c r="S38">
        <f t="shared" si="0"/>
        <v>4165.1149999999998</v>
      </c>
      <c r="T38" t="str">
        <v>2009</v>
      </c>
    </row>
    <row r="39" spans="1:20" x14ac:dyDescent="0.35">
      <c r="A39" s="11" t="s">
        <v>25</v>
      </c>
      <c r="B39">
        <v>8.6750000000000007</v>
      </c>
      <c r="C39" s="67">
        <v>1.768</v>
      </c>
      <c r="D39" s="67">
        <v>25</v>
      </c>
      <c r="E39">
        <v>1.9159999999999999</v>
      </c>
      <c r="F39">
        <v>421</v>
      </c>
      <c r="G39" s="67">
        <v>12</v>
      </c>
      <c r="H39" s="67">
        <v>101</v>
      </c>
      <c r="I39" s="67">
        <v>3.2240000000000002</v>
      </c>
      <c r="J39" s="67">
        <v>965</v>
      </c>
      <c r="K39" s="67">
        <v>282</v>
      </c>
      <c r="L39">
        <v>472</v>
      </c>
      <c r="M39">
        <v>2.629</v>
      </c>
      <c r="N39">
        <v>344</v>
      </c>
      <c r="O39">
        <v>349</v>
      </c>
      <c r="P39">
        <v>270</v>
      </c>
      <c r="Q39">
        <v>345</v>
      </c>
      <c r="R39">
        <v>652</v>
      </c>
      <c r="S39">
        <f t="shared" si="0"/>
        <v>4256.2119999999995</v>
      </c>
      <c r="T39" t="str">
        <v>2010</v>
      </c>
    </row>
    <row r="40" spans="1:20" x14ac:dyDescent="0.35">
      <c r="A40" s="11" t="s">
        <v>29</v>
      </c>
      <c r="B40">
        <v>9.8170000000000002</v>
      </c>
      <c r="C40" s="67">
        <v>2.0310000000000001</v>
      </c>
      <c r="D40" s="67">
        <v>45</v>
      </c>
      <c r="E40">
        <v>1.8740000000000001</v>
      </c>
      <c r="F40">
        <v>451</v>
      </c>
      <c r="G40" s="67">
        <v>18</v>
      </c>
      <c r="H40" s="67">
        <v>104</v>
      </c>
      <c r="I40" s="67">
        <v>3.4790000000000001</v>
      </c>
      <c r="J40" s="67">
        <v>1.032</v>
      </c>
      <c r="K40" s="67">
        <v>315</v>
      </c>
      <c r="L40">
        <v>517</v>
      </c>
      <c r="M40">
        <v>2.9329999999999998</v>
      </c>
      <c r="N40">
        <v>447</v>
      </c>
      <c r="O40">
        <v>413</v>
      </c>
      <c r="P40">
        <v>301</v>
      </c>
      <c r="Q40">
        <v>363</v>
      </c>
      <c r="R40">
        <v>719</v>
      </c>
      <c r="S40">
        <f t="shared" si="0"/>
        <v>3714.1660000000002</v>
      </c>
      <c r="T40" t="str">
        <v>2011</v>
      </c>
    </row>
    <row r="41" spans="1:20" x14ac:dyDescent="0.35">
      <c r="A41" s="11" t="s">
        <v>33</v>
      </c>
      <c r="B41">
        <v>5.2649999999999997</v>
      </c>
      <c r="C41" s="67">
        <v>2.052</v>
      </c>
      <c r="D41" s="67">
        <v>55</v>
      </c>
      <c r="E41">
        <v>1.7350000000000001</v>
      </c>
      <c r="F41">
        <v>470</v>
      </c>
      <c r="G41" s="67">
        <v>23</v>
      </c>
      <c r="H41" s="67">
        <v>119</v>
      </c>
      <c r="I41" s="67">
        <v>3.4769999999999999</v>
      </c>
      <c r="J41" s="67">
        <v>1.026</v>
      </c>
      <c r="K41" s="67">
        <v>340</v>
      </c>
      <c r="L41">
        <v>499</v>
      </c>
      <c r="M41">
        <v>3.0859999999999999</v>
      </c>
      <c r="N41">
        <v>538</v>
      </c>
      <c r="O41">
        <v>448</v>
      </c>
      <c r="P41">
        <v>315</v>
      </c>
      <c r="Q41">
        <v>368</v>
      </c>
      <c r="R41">
        <v>756</v>
      </c>
      <c r="S41">
        <f t="shared" si="0"/>
        <v>3947.6409999999996</v>
      </c>
      <c r="T41" t="str">
        <v>2012</v>
      </c>
    </row>
    <row r="42" spans="1:20" x14ac:dyDescent="0.35">
      <c r="A42" s="11" t="s">
        <v>37</v>
      </c>
      <c r="B42">
        <v>4.8250000000000002</v>
      </c>
      <c r="C42" s="67">
        <v>2.1509999999999998</v>
      </c>
      <c r="D42" s="67">
        <v>61</v>
      </c>
      <c r="E42">
        <v>1.7350000000000001</v>
      </c>
      <c r="F42">
        <v>626</v>
      </c>
      <c r="G42" s="67">
        <v>43</v>
      </c>
      <c r="H42" s="67">
        <v>131</v>
      </c>
      <c r="I42" s="67">
        <v>3.71</v>
      </c>
      <c r="J42" s="67">
        <v>1.0740000000000001</v>
      </c>
      <c r="K42" s="67">
        <v>358</v>
      </c>
      <c r="L42">
        <v>505</v>
      </c>
      <c r="M42">
        <v>3.1920000000000002</v>
      </c>
      <c r="N42">
        <v>499</v>
      </c>
      <c r="O42">
        <v>496</v>
      </c>
      <c r="P42">
        <v>338</v>
      </c>
      <c r="Q42">
        <v>414</v>
      </c>
      <c r="R42">
        <v>770</v>
      </c>
      <c r="S42">
        <f t="shared" si="0"/>
        <v>4257.6869999999999</v>
      </c>
      <c r="T42" t="str">
        <v>2013</v>
      </c>
    </row>
    <row r="43" spans="1:20" x14ac:dyDescent="0.35">
      <c r="A43" s="11" t="s">
        <v>41</v>
      </c>
      <c r="B43">
        <v>5.0789999999999997</v>
      </c>
      <c r="C43" s="67">
        <v>2.3889999999999998</v>
      </c>
      <c r="D43" s="67">
        <v>75</v>
      </c>
      <c r="E43">
        <v>1.8460000000000001</v>
      </c>
      <c r="F43">
        <v>633</v>
      </c>
      <c r="G43" s="67">
        <v>69</v>
      </c>
      <c r="H43" s="67">
        <v>144</v>
      </c>
      <c r="I43" s="67">
        <v>2.7090000000000001</v>
      </c>
      <c r="J43" s="67">
        <v>1.1060000000000001</v>
      </c>
      <c r="K43" s="67">
        <v>380</v>
      </c>
      <c r="L43">
        <v>531</v>
      </c>
      <c r="M43">
        <v>4.1710000000000003</v>
      </c>
      <c r="N43">
        <v>550</v>
      </c>
      <c r="O43">
        <v>607</v>
      </c>
      <c r="P43">
        <v>384</v>
      </c>
      <c r="Q43">
        <v>457</v>
      </c>
      <c r="R43">
        <v>812</v>
      </c>
      <c r="S43">
        <f t="shared" si="0"/>
        <v>4659.3</v>
      </c>
      <c r="T43" t="str">
        <v>2014</v>
      </c>
    </row>
    <row r="44" spans="1:20" x14ac:dyDescent="0.35">
      <c r="A44" s="11" t="s">
        <v>45</v>
      </c>
      <c r="B44">
        <v>5.15</v>
      </c>
      <c r="C44" s="67">
        <v>2.42</v>
      </c>
      <c r="D44" s="67">
        <v>71</v>
      </c>
      <c r="E44">
        <v>1.8879999999999999</v>
      </c>
      <c r="F44">
        <v>694</v>
      </c>
      <c r="G44" s="67">
        <v>105</v>
      </c>
      <c r="H44" s="67">
        <v>153</v>
      </c>
      <c r="I44" s="67">
        <v>2.4870000000000001</v>
      </c>
      <c r="J44" s="67">
        <v>1.762</v>
      </c>
      <c r="K44" s="67">
        <v>412</v>
      </c>
      <c r="L44">
        <v>470</v>
      </c>
      <c r="M44">
        <v>4.1230000000000002</v>
      </c>
      <c r="N44">
        <v>590</v>
      </c>
      <c r="O44">
        <v>616</v>
      </c>
      <c r="P44">
        <v>406</v>
      </c>
      <c r="Q44">
        <v>444</v>
      </c>
      <c r="R44">
        <v>209</v>
      </c>
      <c r="S44">
        <f t="shared" si="0"/>
        <v>4187.83</v>
      </c>
      <c r="T44" t="str">
        <v>2015</v>
      </c>
    </row>
    <row r="45" spans="1:20" x14ac:dyDescent="0.35">
      <c r="A45" s="11" t="s">
        <v>49</v>
      </c>
      <c r="B45">
        <v>5.3019999999999996</v>
      </c>
      <c r="C45" s="67">
        <v>2.8330000000000002</v>
      </c>
      <c r="D45" s="67">
        <v>95</v>
      </c>
      <c r="E45">
        <v>2.105</v>
      </c>
      <c r="F45">
        <v>717</v>
      </c>
      <c r="G45" s="67">
        <v>149</v>
      </c>
      <c r="H45" s="67">
        <v>168</v>
      </c>
      <c r="I45" s="67">
        <v>2.5579999999999998</v>
      </c>
      <c r="J45" s="67">
        <v>1.833</v>
      </c>
      <c r="K45" s="67">
        <v>465</v>
      </c>
      <c r="L45">
        <v>509</v>
      </c>
      <c r="M45">
        <v>4.4909999999999997</v>
      </c>
      <c r="N45">
        <v>683</v>
      </c>
      <c r="O45">
        <v>739</v>
      </c>
      <c r="P45">
        <v>448</v>
      </c>
      <c r="Q45">
        <v>456</v>
      </c>
      <c r="R45">
        <v>579</v>
      </c>
      <c r="S45">
        <f t="shared" si="0"/>
        <v>5027.1220000000003</v>
      </c>
      <c r="T45" t="str">
        <v>2016</v>
      </c>
    </row>
    <row r="46" spans="1:20" x14ac:dyDescent="0.35">
      <c r="A46" s="11" t="s">
        <v>53</v>
      </c>
      <c r="B46">
        <v>6.8289999999999997</v>
      </c>
      <c r="C46" s="67">
        <v>3.0059999999999998</v>
      </c>
      <c r="D46" s="67">
        <v>122</v>
      </c>
      <c r="E46">
        <v>2.222</v>
      </c>
      <c r="F46">
        <v>806</v>
      </c>
      <c r="G46" s="67">
        <v>185</v>
      </c>
      <c r="H46" s="67">
        <v>193</v>
      </c>
      <c r="I46" s="67">
        <v>2.7069999999999999</v>
      </c>
      <c r="J46" s="67">
        <v>1.8129999999999999</v>
      </c>
      <c r="K46" s="67">
        <v>524</v>
      </c>
      <c r="L46">
        <v>534</v>
      </c>
      <c r="M46">
        <v>5.1159999999999997</v>
      </c>
      <c r="N46">
        <v>808</v>
      </c>
      <c r="O46">
        <v>822</v>
      </c>
      <c r="P46">
        <v>492</v>
      </c>
      <c r="Q46">
        <v>535</v>
      </c>
      <c r="R46">
        <v>722</v>
      </c>
      <c r="S46">
        <f t="shared" si="0"/>
        <v>5764.6930000000002</v>
      </c>
      <c r="T46" t="str">
        <v>2017</v>
      </c>
    </row>
    <row r="47" spans="1:20" x14ac:dyDescent="0.35">
      <c r="A47" s="11" t="s">
        <v>57</v>
      </c>
      <c r="B47">
        <v>7.6559999999999997</v>
      </c>
      <c r="C47" s="67">
        <v>3.242</v>
      </c>
      <c r="D47" s="67">
        <v>151</v>
      </c>
      <c r="E47">
        <v>2.3929999999999998</v>
      </c>
      <c r="F47">
        <v>824</v>
      </c>
      <c r="G47" s="67">
        <v>267</v>
      </c>
      <c r="H47" s="67">
        <v>211</v>
      </c>
      <c r="I47" s="67">
        <v>2.7669999999999999</v>
      </c>
      <c r="J47" s="67">
        <v>1.837</v>
      </c>
      <c r="K47" s="67">
        <v>588</v>
      </c>
      <c r="L47">
        <v>545</v>
      </c>
      <c r="M47">
        <v>5.92</v>
      </c>
      <c r="N47">
        <v>921</v>
      </c>
      <c r="O47">
        <v>907</v>
      </c>
      <c r="P47">
        <v>545</v>
      </c>
      <c r="Q47">
        <v>610</v>
      </c>
      <c r="R47">
        <v>802</v>
      </c>
      <c r="S47">
        <f t="shared" si="0"/>
        <v>6394.8150000000005</v>
      </c>
      <c r="T47" t="str">
        <v>2018</v>
      </c>
    </row>
    <row r="48" spans="1:20" x14ac:dyDescent="0.35">
      <c r="A48" s="11" t="s">
        <v>61</v>
      </c>
      <c r="B48">
        <v>8.0760000000000005</v>
      </c>
      <c r="C48" s="67">
        <v>3.5870000000000002</v>
      </c>
      <c r="D48" s="67">
        <v>192</v>
      </c>
      <c r="E48">
        <v>2.7069999999999999</v>
      </c>
      <c r="F48">
        <v>852</v>
      </c>
      <c r="G48" s="67">
        <v>396</v>
      </c>
      <c r="H48" s="67">
        <v>229</v>
      </c>
      <c r="I48" s="67">
        <v>2.851</v>
      </c>
      <c r="J48" s="67">
        <v>1.8919999999999999</v>
      </c>
      <c r="K48" s="67">
        <v>681</v>
      </c>
      <c r="L48">
        <v>561</v>
      </c>
      <c r="M48">
        <v>6.2720000000000002</v>
      </c>
      <c r="N48">
        <v>1.1279999999999999</v>
      </c>
      <c r="O48">
        <v>1.0940000000000001</v>
      </c>
      <c r="P48">
        <v>605</v>
      </c>
      <c r="Q48">
        <v>648</v>
      </c>
      <c r="R48">
        <v>879</v>
      </c>
      <c r="S48">
        <f t="shared" si="0"/>
        <v>5070.607</v>
      </c>
      <c r="T48" t="str">
        <v>2019</v>
      </c>
    </row>
    <row r="49" spans="1:20" x14ac:dyDescent="0.35">
      <c r="A49" s="11" t="s">
        <v>6</v>
      </c>
      <c r="B49">
        <v>6.0469999999999997</v>
      </c>
      <c r="C49" s="67">
        <v>1.016</v>
      </c>
      <c r="D49" s="67">
        <v>0</v>
      </c>
      <c r="E49">
        <v>1.54</v>
      </c>
      <c r="F49">
        <v>78</v>
      </c>
      <c r="G49" s="67">
        <v>0</v>
      </c>
      <c r="H49" s="67">
        <v>0</v>
      </c>
      <c r="I49" s="67">
        <v>2.4910000000000001</v>
      </c>
      <c r="J49" s="67">
        <v>848</v>
      </c>
      <c r="K49" s="67">
        <v>146</v>
      </c>
      <c r="L49">
        <v>307</v>
      </c>
      <c r="M49">
        <v>741</v>
      </c>
      <c r="N49">
        <v>72</v>
      </c>
      <c r="O49">
        <v>250</v>
      </c>
      <c r="P49">
        <v>167</v>
      </c>
      <c r="Q49">
        <v>647</v>
      </c>
      <c r="R49">
        <v>334</v>
      </c>
      <c r="S49">
        <f t="shared" si="0"/>
        <v>3601.0940000000001</v>
      </c>
      <c r="T49" t="str">
        <v>2005</v>
      </c>
    </row>
    <row r="50" spans="1:20" x14ac:dyDescent="0.35">
      <c r="A50" s="11" t="s">
        <v>10</v>
      </c>
      <c r="B50">
        <v>6.8209999999999997</v>
      </c>
      <c r="C50" s="67">
        <v>1.333</v>
      </c>
      <c r="D50" s="67">
        <v>2</v>
      </c>
      <c r="E50">
        <v>2.0649999999999999</v>
      </c>
      <c r="F50">
        <v>154</v>
      </c>
      <c r="G50" s="67">
        <v>1</v>
      </c>
      <c r="H50" s="67">
        <v>58</v>
      </c>
      <c r="I50" s="67">
        <v>2.7629999999999999</v>
      </c>
      <c r="J50" s="67">
        <v>934</v>
      </c>
      <c r="K50" s="67">
        <v>178</v>
      </c>
      <c r="L50">
        <v>343</v>
      </c>
      <c r="M50">
        <v>1.669</v>
      </c>
      <c r="N50">
        <v>113</v>
      </c>
      <c r="O50">
        <v>266</v>
      </c>
      <c r="P50">
        <v>192</v>
      </c>
      <c r="Q50">
        <v>449</v>
      </c>
      <c r="R50">
        <v>388</v>
      </c>
      <c r="S50">
        <f t="shared" si="0"/>
        <v>3092.6509999999998</v>
      </c>
      <c r="T50" t="str">
        <v>2006</v>
      </c>
    </row>
    <row r="51" spans="1:20" x14ac:dyDescent="0.35">
      <c r="A51" s="11" t="s">
        <v>14</v>
      </c>
      <c r="B51">
        <v>7.2210000000000001</v>
      </c>
      <c r="C51" s="67">
        <v>1.6579999999999999</v>
      </c>
      <c r="D51" s="67">
        <v>4</v>
      </c>
      <c r="E51">
        <v>2.1520000000000001</v>
      </c>
      <c r="F51">
        <v>203</v>
      </c>
      <c r="G51" s="67">
        <v>2</v>
      </c>
      <c r="H51" s="67">
        <v>69</v>
      </c>
      <c r="I51" s="67">
        <v>3.0089999999999999</v>
      </c>
      <c r="J51" s="67">
        <v>1.0740000000000001</v>
      </c>
      <c r="K51" s="67">
        <v>203</v>
      </c>
      <c r="L51">
        <v>460</v>
      </c>
      <c r="M51">
        <v>2.621</v>
      </c>
      <c r="N51">
        <v>189</v>
      </c>
      <c r="O51">
        <v>293</v>
      </c>
      <c r="P51">
        <v>245</v>
      </c>
      <c r="Q51">
        <v>224</v>
      </c>
      <c r="R51">
        <v>451</v>
      </c>
      <c r="S51">
        <f t="shared" si="0"/>
        <v>2360.7350000000001</v>
      </c>
      <c r="T51" t="str">
        <v>2007</v>
      </c>
    </row>
    <row r="52" spans="1:20" x14ac:dyDescent="0.35">
      <c r="A52" s="11" t="s">
        <v>18</v>
      </c>
      <c r="B52">
        <v>7.95</v>
      </c>
      <c r="C52" s="67">
        <v>1.718</v>
      </c>
      <c r="D52" s="67">
        <v>12</v>
      </c>
      <c r="E52">
        <v>2.0019999999999998</v>
      </c>
      <c r="F52">
        <v>443</v>
      </c>
      <c r="G52" s="67">
        <v>4</v>
      </c>
      <c r="H52" s="67">
        <v>83</v>
      </c>
      <c r="I52" s="67">
        <v>3.1309999999999998</v>
      </c>
      <c r="J52" s="67">
        <v>1.03</v>
      </c>
      <c r="K52" s="67">
        <v>223</v>
      </c>
      <c r="L52">
        <v>448</v>
      </c>
      <c r="M52">
        <v>2.6459999999999999</v>
      </c>
      <c r="N52">
        <v>232</v>
      </c>
      <c r="O52">
        <v>310</v>
      </c>
      <c r="P52">
        <v>243</v>
      </c>
      <c r="Q52">
        <v>306</v>
      </c>
      <c r="R52">
        <v>509</v>
      </c>
      <c r="S52">
        <f t="shared" si="0"/>
        <v>2831.4769999999999</v>
      </c>
      <c r="T52" t="str">
        <v>2008</v>
      </c>
    </row>
    <row r="53" spans="1:20" x14ac:dyDescent="0.35">
      <c r="A53" s="11" t="s">
        <v>22</v>
      </c>
      <c r="B53">
        <v>8.7899999999999991</v>
      </c>
      <c r="C53" s="67">
        <v>1.8340000000000001</v>
      </c>
      <c r="D53" s="67">
        <v>20</v>
      </c>
      <c r="E53">
        <v>2.0790000000000002</v>
      </c>
      <c r="F53">
        <v>403</v>
      </c>
      <c r="G53" s="67">
        <v>10</v>
      </c>
      <c r="H53" s="67">
        <v>93</v>
      </c>
      <c r="I53" s="67">
        <v>3.47</v>
      </c>
      <c r="J53" s="67">
        <v>1.107</v>
      </c>
      <c r="K53" s="67">
        <v>275</v>
      </c>
      <c r="L53">
        <v>495</v>
      </c>
      <c r="M53">
        <v>2.641</v>
      </c>
      <c r="N53">
        <v>323</v>
      </c>
      <c r="O53">
        <v>347</v>
      </c>
      <c r="P53">
        <v>270</v>
      </c>
      <c r="Q53">
        <v>115</v>
      </c>
      <c r="R53">
        <v>541</v>
      </c>
      <c r="S53">
        <f t="shared" si="0"/>
        <v>2911.9210000000003</v>
      </c>
      <c r="T53" t="str">
        <v>2009</v>
      </c>
    </row>
    <row r="54" spans="1:20" x14ac:dyDescent="0.35">
      <c r="A54" s="11" t="s">
        <v>26</v>
      </c>
      <c r="B54">
        <v>9.968</v>
      </c>
      <c r="C54" s="67">
        <v>1.9950000000000001</v>
      </c>
      <c r="D54" s="67">
        <v>28</v>
      </c>
      <c r="E54">
        <v>2.0019999999999998</v>
      </c>
      <c r="F54">
        <v>428</v>
      </c>
      <c r="G54" s="67">
        <v>16</v>
      </c>
      <c r="H54" s="67">
        <v>106</v>
      </c>
      <c r="I54" s="67">
        <v>3.4980000000000002</v>
      </c>
      <c r="J54" s="67">
        <v>1.135</v>
      </c>
      <c r="K54" s="67">
        <v>306</v>
      </c>
      <c r="L54">
        <v>534</v>
      </c>
      <c r="M54">
        <v>2.5419999999999998</v>
      </c>
      <c r="N54">
        <v>389</v>
      </c>
      <c r="O54">
        <v>392</v>
      </c>
      <c r="P54">
        <v>284</v>
      </c>
      <c r="Q54">
        <v>327</v>
      </c>
      <c r="R54">
        <v>580</v>
      </c>
      <c r="S54">
        <f t="shared" si="0"/>
        <v>3411.14</v>
      </c>
      <c r="T54" t="str">
        <v>2010</v>
      </c>
    </row>
    <row r="55" spans="1:20" x14ac:dyDescent="0.35">
      <c r="A55" s="11" t="s">
        <v>30</v>
      </c>
      <c r="B55">
        <v>10.377000000000001</v>
      </c>
      <c r="C55" s="67">
        <v>2.2149999999999999</v>
      </c>
      <c r="D55" s="67">
        <v>47</v>
      </c>
      <c r="E55">
        <v>1.8480000000000001</v>
      </c>
      <c r="F55">
        <v>467</v>
      </c>
      <c r="G55" s="67">
        <v>22</v>
      </c>
      <c r="H55" s="67">
        <v>112</v>
      </c>
      <c r="I55" s="67">
        <v>3.5939999999999999</v>
      </c>
      <c r="J55" s="67">
        <v>1.167</v>
      </c>
      <c r="K55" s="67">
        <v>333</v>
      </c>
      <c r="L55">
        <v>550</v>
      </c>
      <c r="M55">
        <v>3.0510000000000002</v>
      </c>
      <c r="N55">
        <v>497</v>
      </c>
      <c r="O55">
        <v>430</v>
      </c>
      <c r="P55">
        <v>307</v>
      </c>
      <c r="Q55">
        <v>395</v>
      </c>
      <c r="R55">
        <v>625</v>
      </c>
      <c r="S55">
        <f t="shared" si="0"/>
        <v>3807.252</v>
      </c>
      <c r="T55" t="str">
        <v>2011</v>
      </c>
    </row>
    <row r="56" spans="1:20" x14ac:dyDescent="0.35">
      <c r="A56" s="11" t="s">
        <v>34</v>
      </c>
      <c r="B56">
        <v>3.1880000000000002</v>
      </c>
      <c r="C56" s="67">
        <v>2.3380000000000001</v>
      </c>
      <c r="D56" s="67">
        <v>58</v>
      </c>
      <c r="E56">
        <v>1.82</v>
      </c>
      <c r="F56">
        <v>588</v>
      </c>
      <c r="G56" s="67">
        <v>33</v>
      </c>
      <c r="H56" s="67">
        <v>132</v>
      </c>
      <c r="I56" s="67">
        <v>3.4990000000000001</v>
      </c>
      <c r="J56" s="67">
        <v>1.181</v>
      </c>
      <c r="K56" s="67">
        <v>377</v>
      </c>
      <c r="L56">
        <v>574</v>
      </c>
      <c r="M56">
        <v>3.2589999999999999</v>
      </c>
      <c r="N56">
        <v>609</v>
      </c>
      <c r="O56">
        <v>511</v>
      </c>
      <c r="P56">
        <v>320</v>
      </c>
      <c r="Q56">
        <v>419</v>
      </c>
      <c r="R56">
        <v>678</v>
      </c>
      <c r="S56">
        <f t="shared" si="0"/>
        <v>4314.2849999999999</v>
      </c>
      <c r="T56" t="str">
        <v>2012</v>
      </c>
    </row>
    <row r="57" spans="1:20" x14ac:dyDescent="0.35">
      <c r="A57" s="11" t="s">
        <v>38</v>
      </c>
      <c r="B57">
        <v>4.008</v>
      </c>
      <c r="C57" s="67">
        <v>2.468</v>
      </c>
      <c r="D57" s="67">
        <v>69</v>
      </c>
      <c r="E57">
        <v>1.8380000000000001</v>
      </c>
      <c r="F57">
        <v>622</v>
      </c>
      <c r="G57" s="67">
        <v>52</v>
      </c>
      <c r="H57" s="67">
        <v>142</v>
      </c>
      <c r="I57" s="67">
        <v>4.3220000000000001</v>
      </c>
      <c r="J57" s="67">
        <v>1.2410000000000001</v>
      </c>
      <c r="K57" s="67">
        <v>384</v>
      </c>
      <c r="L57">
        <v>603</v>
      </c>
      <c r="M57">
        <v>3.4670000000000001</v>
      </c>
      <c r="N57">
        <v>576</v>
      </c>
      <c r="O57">
        <v>536</v>
      </c>
      <c r="P57">
        <v>354</v>
      </c>
      <c r="Q57">
        <v>451</v>
      </c>
      <c r="R57">
        <v>712</v>
      </c>
      <c r="S57">
        <f t="shared" si="0"/>
        <v>4518.3440000000001</v>
      </c>
      <c r="T57" t="str">
        <v>2013</v>
      </c>
    </row>
    <row r="58" spans="1:20" x14ac:dyDescent="0.35">
      <c r="A58" s="11" t="s">
        <v>42</v>
      </c>
      <c r="B58">
        <v>5.3559999999999999</v>
      </c>
      <c r="C58" s="67">
        <v>2.6179999999999999</v>
      </c>
      <c r="D58" s="67">
        <v>15</v>
      </c>
      <c r="E58">
        <v>1.887</v>
      </c>
      <c r="F58">
        <v>661</v>
      </c>
      <c r="G58" s="67">
        <v>84</v>
      </c>
      <c r="H58" s="67">
        <v>162</v>
      </c>
      <c r="I58" s="67">
        <v>2.7890000000000001</v>
      </c>
      <c r="J58" s="67">
        <v>1.2230000000000001</v>
      </c>
      <c r="K58" s="67">
        <v>423</v>
      </c>
      <c r="L58">
        <v>598</v>
      </c>
      <c r="M58">
        <v>4.4930000000000003</v>
      </c>
      <c r="N58">
        <v>605</v>
      </c>
      <c r="O58">
        <v>618</v>
      </c>
      <c r="P58">
        <v>352</v>
      </c>
      <c r="Q58">
        <v>476</v>
      </c>
      <c r="R58">
        <v>738</v>
      </c>
      <c r="S58">
        <f t="shared" si="0"/>
        <v>4750.366</v>
      </c>
      <c r="T58" t="str">
        <v>2014</v>
      </c>
    </row>
    <row r="59" spans="1:20" x14ac:dyDescent="0.35">
      <c r="A59" s="11" t="s">
        <v>46</v>
      </c>
      <c r="B59">
        <v>5.1879999999999997</v>
      </c>
      <c r="C59" s="67">
        <v>2.7149999999999999</v>
      </c>
      <c r="D59" s="67">
        <v>84</v>
      </c>
      <c r="E59">
        <v>1.978</v>
      </c>
      <c r="F59">
        <v>703</v>
      </c>
      <c r="G59" s="67">
        <v>131</v>
      </c>
      <c r="H59" s="67">
        <v>167</v>
      </c>
      <c r="I59" s="67">
        <v>2.6030000000000002</v>
      </c>
      <c r="J59" s="67">
        <v>1.9339999999999999</v>
      </c>
      <c r="K59" s="67">
        <v>455</v>
      </c>
      <c r="L59">
        <v>571</v>
      </c>
      <c r="M59">
        <v>4.6520000000000001</v>
      </c>
      <c r="N59">
        <v>677</v>
      </c>
      <c r="O59">
        <v>671</v>
      </c>
      <c r="P59">
        <v>400</v>
      </c>
      <c r="Q59">
        <v>485</v>
      </c>
      <c r="R59">
        <v>757</v>
      </c>
      <c r="S59">
        <f t="shared" si="0"/>
        <v>5120.07</v>
      </c>
      <c r="T59" t="str">
        <v>2015</v>
      </c>
    </row>
    <row r="60" spans="1:20" x14ac:dyDescent="0.35">
      <c r="A60" s="11" t="s">
        <v>50</v>
      </c>
      <c r="B60">
        <v>5.3330000000000002</v>
      </c>
      <c r="C60" s="67">
        <v>3.157</v>
      </c>
      <c r="D60" s="67">
        <v>104</v>
      </c>
      <c r="E60">
        <v>2.1909999999999998</v>
      </c>
      <c r="F60">
        <v>727</v>
      </c>
      <c r="G60" s="67">
        <v>171</v>
      </c>
      <c r="H60" s="67">
        <v>201</v>
      </c>
      <c r="I60" s="67">
        <v>2.645</v>
      </c>
      <c r="J60" s="67">
        <v>1.998</v>
      </c>
      <c r="K60" s="67">
        <v>530</v>
      </c>
      <c r="L60">
        <v>571</v>
      </c>
      <c r="M60">
        <v>4.9530000000000003</v>
      </c>
      <c r="N60">
        <v>759</v>
      </c>
      <c r="O60">
        <v>768</v>
      </c>
      <c r="P60">
        <v>443</v>
      </c>
      <c r="Q60">
        <v>514</v>
      </c>
      <c r="R60">
        <v>602</v>
      </c>
      <c r="S60">
        <f t="shared" si="0"/>
        <v>5410.277</v>
      </c>
      <c r="T60" t="str">
        <v>2016</v>
      </c>
    </row>
    <row r="61" spans="1:20" x14ac:dyDescent="0.35">
      <c r="A61" s="11" t="s">
        <v>54</v>
      </c>
      <c r="B61">
        <v>7.5890000000000004</v>
      </c>
      <c r="C61" s="67">
        <v>3.4710000000000001</v>
      </c>
      <c r="D61" s="67">
        <v>131</v>
      </c>
      <c r="E61">
        <v>2.4089999999999998</v>
      </c>
      <c r="F61">
        <v>803</v>
      </c>
      <c r="G61" s="67">
        <v>221</v>
      </c>
      <c r="H61" s="67">
        <v>208</v>
      </c>
      <c r="I61" s="67">
        <v>2.774</v>
      </c>
      <c r="J61" s="67">
        <v>2.0680000000000001</v>
      </c>
      <c r="K61" s="67">
        <v>601</v>
      </c>
      <c r="L61">
        <v>621</v>
      </c>
      <c r="M61">
        <v>6.0469999999999997</v>
      </c>
      <c r="N61">
        <v>892</v>
      </c>
      <c r="O61">
        <v>889</v>
      </c>
      <c r="P61">
        <v>506</v>
      </c>
      <c r="Q61">
        <v>595</v>
      </c>
      <c r="R61">
        <v>679</v>
      </c>
      <c r="S61">
        <f t="shared" si="0"/>
        <v>6170.3580000000002</v>
      </c>
      <c r="T61" t="str">
        <v>2017</v>
      </c>
    </row>
    <row r="62" spans="1:20" x14ac:dyDescent="0.35">
      <c r="A62" s="11" t="s">
        <v>58</v>
      </c>
      <c r="B62">
        <v>7.7649999999999997</v>
      </c>
      <c r="C62" s="67">
        <v>3.7959999999999998</v>
      </c>
      <c r="D62" s="67">
        <v>165</v>
      </c>
      <c r="E62">
        <v>2.5609999999999999</v>
      </c>
      <c r="F62">
        <v>814</v>
      </c>
      <c r="G62" s="67">
        <v>338</v>
      </c>
      <c r="H62" s="67">
        <v>223</v>
      </c>
      <c r="I62" s="67">
        <v>2.8410000000000002</v>
      </c>
      <c r="J62" s="67">
        <v>2.0710000000000002</v>
      </c>
      <c r="K62" s="67">
        <v>651</v>
      </c>
      <c r="L62">
        <v>617</v>
      </c>
      <c r="M62">
        <v>6.5069999999999997</v>
      </c>
      <c r="N62">
        <v>1.0469999999999999</v>
      </c>
      <c r="O62">
        <v>978</v>
      </c>
      <c r="P62">
        <v>549</v>
      </c>
      <c r="Q62">
        <v>642</v>
      </c>
      <c r="R62">
        <v>741</v>
      </c>
      <c r="S62">
        <f t="shared" si="0"/>
        <v>5744.5879999999997</v>
      </c>
      <c r="T62" t="str">
        <v>2018</v>
      </c>
    </row>
    <row r="63" spans="1:20" x14ac:dyDescent="0.35">
      <c r="A63" s="11" t="s">
        <v>615</v>
      </c>
      <c r="B63">
        <v>386.80900000000003</v>
      </c>
      <c r="C63" s="67">
        <v>130.24700000000004</v>
      </c>
      <c r="D63" s="67">
        <v>3247</v>
      </c>
      <c r="E63">
        <v>118.46399999999997</v>
      </c>
      <c r="F63">
        <v>29544</v>
      </c>
      <c r="G63" s="67">
        <v>4429</v>
      </c>
      <c r="H63" s="67">
        <v>7181</v>
      </c>
      <c r="I63" s="67">
        <v>175.86299999999997</v>
      </c>
      <c r="J63" s="67">
        <v>13556.11</v>
      </c>
      <c r="K63" s="67">
        <v>21300</v>
      </c>
      <c r="L63">
        <v>28069</v>
      </c>
      <c r="M63">
        <v>4951.4959999999992</v>
      </c>
      <c r="N63">
        <v>24761.274000000001</v>
      </c>
      <c r="O63">
        <v>28695.181</v>
      </c>
      <c r="P63">
        <v>20193</v>
      </c>
      <c r="Q63">
        <v>27910</v>
      </c>
      <c r="R63">
        <v>36323</v>
      </c>
    </row>
  </sheetData>
  <autoFilter ref="A3:S63" xr:uid="{B464B2AB-18C2-4344-8E23-25293E30F5D7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B873-ECFD-471B-BC25-92355A47D47D}">
  <dimension ref="A1:H60"/>
  <sheetViews>
    <sheetView workbookViewId="0">
      <selection activeCell="K35" sqref="K35"/>
    </sheetView>
  </sheetViews>
  <sheetFormatPr baseColWidth="10" defaultRowHeight="14.5" x14ac:dyDescent="0.35"/>
  <cols>
    <col min="1" max="1" width="10.90625" style="22"/>
    <col min="2" max="2" width="13.6328125" style="22" customWidth="1"/>
    <col min="3" max="3" width="10.90625" style="22"/>
    <col min="4" max="4" width="11.6328125" customWidth="1"/>
    <col min="5" max="5" width="17.08984375" customWidth="1"/>
    <col min="6" max="6" width="23" customWidth="1"/>
    <col min="8" max="8" width="19.08984375" bestFit="1" customWidth="1"/>
  </cols>
  <sheetData>
    <row r="1" spans="1:8" x14ac:dyDescent="0.35">
      <c r="A1" s="23" t="s">
        <v>616</v>
      </c>
      <c r="B1" s="23" t="s">
        <v>619</v>
      </c>
      <c r="C1" s="23" t="s">
        <v>618</v>
      </c>
      <c r="D1" s="16" t="s">
        <v>65</v>
      </c>
      <c r="E1" s="18" t="s">
        <v>150</v>
      </c>
      <c r="F1" s="17" t="s">
        <v>420</v>
      </c>
      <c r="G1" s="18" t="s">
        <v>523</v>
      </c>
      <c r="H1" s="131" t="s">
        <v>1297</v>
      </c>
    </row>
    <row r="2" spans="1:8" x14ac:dyDescent="0.35">
      <c r="A2" s="20" t="s">
        <v>3</v>
      </c>
      <c r="B2" s="13" t="str">
        <f>LEFT(Tabla4[[#This Row],[Periodo]],2)</f>
        <v>Q1</v>
      </c>
      <c r="C2" s="13" t="str">
        <f>RIGHT(Tabla6[[#This Row],[Periodo]],5)</f>
        <v xml:space="preserve"> 2005</v>
      </c>
      <c r="D2" s="35">
        <v>2.5310000000000001</v>
      </c>
      <c r="E2" s="35">
        <v>625</v>
      </c>
      <c r="F2" s="35">
        <v>1.609</v>
      </c>
      <c r="G2" s="35">
        <v>288</v>
      </c>
      <c r="H2" s="129">
        <f>SUM(Tabla5[[#This Row],[Medtronic]:[STERIS]])</f>
        <v>917.14</v>
      </c>
    </row>
    <row r="3" spans="1:8" x14ac:dyDescent="0.35">
      <c r="A3" s="20" t="s">
        <v>4</v>
      </c>
      <c r="B3" s="13" t="str">
        <f>LEFT(Tabla4[[#This Row],[Periodo]],2)</f>
        <v>Q2</v>
      </c>
      <c r="C3" s="13" t="str">
        <f>RIGHT(Tabla6[[#This Row],[Periodo]],5)</f>
        <v xml:space="preserve"> 2005</v>
      </c>
      <c r="D3" s="35">
        <v>2.778</v>
      </c>
      <c r="E3" s="35">
        <v>652</v>
      </c>
      <c r="F3" s="35">
        <v>1.67</v>
      </c>
      <c r="G3" s="35">
        <v>268</v>
      </c>
      <c r="H3" s="35">
        <f>SUM(Tabla5[[#This Row],[Medtronic]:[STERIS]])</f>
        <v>924.44799999999998</v>
      </c>
    </row>
    <row r="4" spans="1:8" x14ac:dyDescent="0.35">
      <c r="A4" s="20" t="s">
        <v>5</v>
      </c>
      <c r="B4" s="13" t="str">
        <f>LEFT(Tabla4[[#This Row],[Periodo]],2)</f>
        <v>Q3</v>
      </c>
      <c r="C4" s="13" t="str">
        <f>RIGHT(Tabla6[[#This Row],[Periodo]],5)</f>
        <v xml:space="preserve"> 2005</v>
      </c>
      <c r="D4" s="35">
        <v>2.69</v>
      </c>
      <c r="E4" s="35">
        <v>609</v>
      </c>
      <c r="F4" s="35">
        <v>1.7170000000000001</v>
      </c>
      <c r="G4" s="35">
        <v>273</v>
      </c>
      <c r="H4" s="35">
        <f>SUM(Tabla5[[#This Row],[Medtronic]:[STERIS]])</f>
        <v>886.40700000000004</v>
      </c>
    </row>
    <row r="5" spans="1:8" x14ac:dyDescent="0.35">
      <c r="A5" s="20" t="s">
        <v>6</v>
      </c>
      <c r="B5" s="13" t="str">
        <f>LEFT(Tabla4[[#This Row],[Periodo]],2)</f>
        <v>Q4</v>
      </c>
      <c r="C5" s="13" t="str">
        <f>RIGHT(Tabla6[[#This Row],[Periodo]],5)</f>
        <v xml:space="preserve"> 2005</v>
      </c>
      <c r="D5" s="35">
        <v>2.7650000000000001</v>
      </c>
      <c r="E5" s="35">
        <v>673</v>
      </c>
      <c r="F5" s="35">
        <v>1.772</v>
      </c>
      <c r="G5" s="35">
        <v>287</v>
      </c>
      <c r="H5" s="35">
        <f>SUM(Tabla5[[#This Row],[Medtronic]:[STERIS]])</f>
        <v>964.53700000000003</v>
      </c>
    </row>
    <row r="6" spans="1:8" x14ac:dyDescent="0.35">
      <c r="A6" s="20" t="s">
        <v>7</v>
      </c>
      <c r="B6" s="13" t="str">
        <f>LEFT(Tabla4[[#This Row],[Periodo]],2)</f>
        <v>Q1</v>
      </c>
      <c r="C6" s="13" t="str">
        <f>RIGHT(Tabla6[[#This Row],[Periodo]],5)</f>
        <v xml:space="preserve"> 2006</v>
      </c>
      <c r="D6" s="35">
        <v>2.77</v>
      </c>
      <c r="E6" s="35">
        <v>643</v>
      </c>
      <c r="F6" s="35">
        <v>1.75</v>
      </c>
      <c r="G6" s="35">
        <v>331</v>
      </c>
      <c r="H6" s="35">
        <f>SUM(Tabla5[[#This Row],[Medtronic]:[STERIS]])</f>
        <v>978.52</v>
      </c>
    </row>
    <row r="7" spans="1:8" x14ac:dyDescent="0.35">
      <c r="A7" s="20" t="s">
        <v>8</v>
      </c>
      <c r="B7" s="13" t="str">
        <f>LEFT(Tabla4[[#This Row],[Periodo]],2)</f>
        <v>Q2</v>
      </c>
      <c r="C7" s="13" t="str">
        <f>RIGHT(Tabla6[[#This Row],[Periodo]],5)</f>
        <v xml:space="preserve"> 2006</v>
      </c>
      <c r="D7" s="35">
        <v>3.0670000000000002</v>
      </c>
      <c r="E7" s="35">
        <v>686</v>
      </c>
      <c r="F7" s="35">
        <v>2.165</v>
      </c>
      <c r="G7" s="35">
        <v>265</v>
      </c>
      <c r="H7" s="35">
        <f>SUM(Tabla5[[#This Row],[Medtronic]:[STERIS]])</f>
        <v>956.23199999999997</v>
      </c>
    </row>
    <row r="8" spans="1:8" x14ac:dyDescent="0.35">
      <c r="A8" s="20" t="s">
        <v>9</v>
      </c>
      <c r="B8" s="13" t="str">
        <f>LEFT(Tabla4[[#This Row],[Periodo]],2)</f>
        <v>Q3</v>
      </c>
      <c r="C8" s="13" t="str">
        <f>RIGHT(Tabla6[[#This Row],[Periodo]],5)</f>
        <v xml:space="preserve"> 2006</v>
      </c>
      <c r="D8" s="35">
        <v>2.8969999999999998</v>
      </c>
      <c r="E8" s="35">
        <v>679</v>
      </c>
      <c r="F8" s="35">
        <v>2.234</v>
      </c>
      <c r="G8" s="35">
        <v>284</v>
      </c>
      <c r="H8" s="35">
        <f>SUM(Tabla5[[#This Row],[Medtronic]:[STERIS]])</f>
        <v>968.13100000000009</v>
      </c>
    </row>
    <row r="9" spans="1:8" x14ac:dyDescent="0.35">
      <c r="A9" s="20" t="s">
        <v>10</v>
      </c>
      <c r="B9" s="13" t="str">
        <f>LEFT(Tabla4[[#This Row],[Periodo]],2)</f>
        <v>Q4</v>
      </c>
      <c r="C9" s="13" t="str">
        <f>RIGHT(Tabla6[[#This Row],[Periodo]],5)</f>
        <v xml:space="preserve"> 2006</v>
      </c>
      <c r="D9" s="35">
        <v>3.0750000000000002</v>
      </c>
      <c r="E9" s="35">
        <v>771</v>
      </c>
      <c r="F9" s="35">
        <v>2.3519999999999999</v>
      </c>
      <c r="G9" s="35">
        <v>299</v>
      </c>
      <c r="H9" s="35">
        <f>SUM(Tabla5[[#This Row],[Medtronic]:[STERIS]])</f>
        <v>1075.4270000000001</v>
      </c>
    </row>
    <row r="10" spans="1:8" x14ac:dyDescent="0.35">
      <c r="A10" s="20" t="s">
        <v>11</v>
      </c>
      <c r="B10" s="13" t="str">
        <f>LEFT(Tabla4[[#This Row],[Periodo]],2)</f>
        <v>Q1</v>
      </c>
      <c r="C10" s="13" t="str">
        <f>RIGHT(Tabla6[[#This Row],[Periodo]],5)</f>
        <v xml:space="preserve"> 2007</v>
      </c>
      <c r="D10" s="35">
        <v>3.048</v>
      </c>
      <c r="E10" s="35">
        <v>744</v>
      </c>
      <c r="F10" s="35">
        <v>2.3210000000000002</v>
      </c>
      <c r="G10" s="35">
        <v>350</v>
      </c>
      <c r="H10" s="35">
        <f>SUM(Tabla5[[#This Row],[Medtronic]:[STERIS]])</f>
        <v>1099.3690000000001</v>
      </c>
    </row>
    <row r="11" spans="1:8" x14ac:dyDescent="0.35">
      <c r="A11" s="20" t="s">
        <v>12</v>
      </c>
      <c r="B11" s="13" t="str">
        <f>LEFT(Tabla4[[#This Row],[Periodo]],2)</f>
        <v>Q2</v>
      </c>
      <c r="C11" s="13" t="str">
        <f>RIGHT(Tabla6[[#This Row],[Periodo]],5)</f>
        <v xml:space="preserve"> 2007</v>
      </c>
      <c r="D11" s="35">
        <v>3.2789999999999999</v>
      </c>
      <c r="E11" s="35">
        <v>813</v>
      </c>
      <c r="F11" s="35">
        <v>2.4039999999999999</v>
      </c>
      <c r="G11" s="35">
        <v>281</v>
      </c>
      <c r="H11" s="35">
        <f>SUM(Tabla5[[#This Row],[Medtronic]:[STERIS]])</f>
        <v>1099.683</v>
      </c>
    </row>
    <row r="12" spans="1:8" x14ac:dyDescent="0.35">
      <c r="A12" s="20" t="s">
        <v>13</v>
      </c>
      <c r="B12" s="13" t="str">
        <f>LEFT(Tabla4[[#This Row],[Periodo]],2)</f>
        <v>Q3</v>
      </c>
      <c r="C12" s="13" t="str">
        <f>RIGHT(Tabla6[[#This Row],[Periodo]],5)</f>
        <v xml:space="preserve"> 2007</v>
      </c>
      <c r="D12" s="35">
        <v>3.1269999999999998</v>
      </c>
      <c r="E12" s="35">
        <v>845</v>
      </c>
      <c r="F12" s="35">
        <v>2.4260000000000002</v>
      </c>
      <c r="G12" s="35">
        <v>295</v>
      </c>
      <c r="H12" s="35">
        <f>SUM(Tabla5[[#This Row],[Medtronic]:[STERIS]])</f>
        <v>1145.5529999999999</v>
      </c>
    </row>
    <row r="13" spans="1:8" x14ac:dyDescent="0.35">
      <c r="A13" s="20" t="s">
        <v>14</v>
      </c>
      <c r="B13" s="13" t="str">
        <f>LEFT(Tabla4[[#This Row],[Periodo]],2)</f>
        <v>Q4</v>
      </c>
      <c r="C13" s="13" t="str">
        <f>RIGHT(Tabla6[[#This Row],[Periodo]],5)</f>
        <v xml:space="preserve"> 2007</v>
      </c>
      <c r="D13" s="35">
        <v>3.1240000000000001</v>
      </c>
      <c r="E13" s="35">
        <v>967</v>
      </c>
      <c r="F13" s="35">
        <v>2.569</v>
      </c>
      <c r="G13" s="35">
        <v>314</v>
      </c>
      <c r="H13" s="35">
        <f>SUM(Tabla5[[#This Row],[Medtronic]:[STERIS]])</f>
        <v>1286.693</v>
      </c>
    </row>
    <row r="14" spans="1:8" x14ac:dyDescent="0.35">
      <c r="A14" s="20" t="s">
        <v>15</v>
      </c>
      <c r="B14" s="13" t="str">
        <f>LEFT(Tabla4[[#This Row],[Periodo]],2)</f>
        <v>Q1</v>
      </c>
      <c r="C14" s="13" t="str">
        <f>RIGHT(Tabla6[[#This Row],[Periodo]],5)</f>
        <v xml:space="preserve"> 2008</v>
      </c>
      <c r="D14" s="35">
        <v>3.4049999999999998</v>
      </c>
      <c r="E14" s="35">
        <v>911</v>
      </c>
      <c r="F14" s="35">
        <v>2.512</v>
      </c>
      <c r="G14" s="35">
        <v>375</v>
      </c>
      <c r="H14" s="35">
        <f>SUM(Tabla5[[#This Row],[Medtronic]:[STERIS]])</f>
        <v>1291.9169999999999</v>
      </c>
    </row>
    <row r="15" spans="1:8" x14ac:dyDescent="0.35">
      <c r="A15" s="20" t="s">
        <v>16</v>
      </c>
      <c r="B15" s="13" t="str">
        <f>LEFT(Tabla4[[#This Row],[Periodo]],2)</f>
        <v>Q2</v>
      </c>
      <c r="C15" s="13" t="str">
        <f>RIGHT(Tabla6[[#This Row],[Periodo]],5)</f>
        <v xml:space="preserve"> 2008</v>
      </c>
      <c r="D15" s="35">
        <v>3.859</v>
      </c>
      <c r="E15" s="35">
        <v>1</v>
      </c>
      <c r="F15" s="35">
        <v>2.665</v>
      </c>
      <c r="G15" s="35">
        <v>312</v>
      </c>
      <c r="H15" s="35">
        <f>SUM(Tabla5[[#This Row],[Medtronic]:[STERIS]])</f>
        <v>319.524</v>
      </c>
    </row>
    <row r="16" spans="1:8" x14ac:dyDescent="0.35">
      <c r="A16" s="20" t="s">
        <v>17</v>
      </c>
      <c r="B16" s="13" t="str">
        <f>LEFT(Tabla4[[#This Row],[Periodo]],2)</f>
        <v>Q3</v>
      </c>
      <c r="C16" s="13" t="str">
        <f>RIGHT(Tabla6[[#This Row],[Periodo]],5)</f>
        <v xml:space="preserve"> 2008</v>
      </c>
      <c r="D16" s="35">
        <v>3.706</v>
      </c>
      <c r="E16" s="35">
        <v>930</v>
      </c>
      <c r="F16" s="35">
        <v>2.7130000000000001</v>
      </c>
      <c r="G16" s="35">
        <v>323</v>
      </c>
      <c r="H16" s="35">
        <f>SUM(Tabla5[[#This Row],[Medtronic]:[STERIS]])</f>
        <v>1259.4189999999999</v>
      </c>
    </row>
    <row r="17" spans="1:8" x14ac:dyDescent="0.35">
      <c r="A17" s="20" t="s">
        <v>18</v>
      </c>
      <c r="B17" s="13" t="str">
        <f>LEFT(Tabla4[[#This Row],[Periodo]],2)</f>
        <v>Q4</v>
      </c>
      <c r="C17" s="13" t="str">
        <f>RIGHT(Tabla6[[#This Row],[Periodo]],5)</f>
        <v xml:space="preserve"> 2008</v>
      </c>
      <c r="D17" s="35">
        <v>3.57</v>
      </c>
      <c r="E17" s="35">
        <v>960</v>
      </c>
      <c r="F17" s="35">
        <v>2.722</v>
      </c>
      <c r="G17" s="35">
        <v>319</v>
      </c>
      <c r="H17" s="35">
        <f>SUM(Tabla5[[#This Row],[Medtronic]:[STERIS]])</f>
        <v>1285.2919999999999</v>
      </c>
    </row>
    <row r="18" spans="1:8" x14ac:dyDescent="0.35">
      <c r="A18" s="20" t="s">
        <v>19</v>
      </c>
      <c r="B18" s="13" t="str">
        <f>LEFT(Tabla4[[#This Row],[Periodo]],2)</f>
        <v>Q1</v>
      </c>
      <c r="C18" s="13" t="str">
        <f>RIGHT(Tabla6[[#This Row],[Periodo]],5)</f>
        <v xml:space="preserve"> 2009</v>
      </c>
      <c r="D18" s="35">
        <v>3.4940000000000002</v>
      </c>
      <c r="E18" s="35">
        <v>865</v>
      </c>
      <c r="F18" s="35">
        <v>2.56</v>
      </c>
      <c r="G18" s="35">
        <v>344</v>
      </c>
      <c r="H18" s="35">
        <f>SUM(Tabla5[[#This Row],[Medtronic]:[STERIS]])</f>
        <v>1215.0540000000001</v>
      </c>
    </row>
    <row r="19" spans="1:8" x14ac:dyDescent="0.35">
      <c r="A19" s="20" t="s">
        <v>20</v>
      </c>
      <c r="B19" s="13" t="str">
        <f>LEFT(Tabla4[[#This Row],[Periodo]],2)</f>
        <v>Q2</v>
      </c>
      <c r="C19" s="13" t="str">
        <f>RIGHT(Tabla6[[#This Row],[Periodo]],5)</f>
        <v xml:space="preserve"> 2009</v>
      </c>
      <c r="D19" s="35">
        <v>3.8290000000000002</v>
      </c>
      <c r="E19" s="35">
        <v>926</v>
      </c>
      <c r="F19" s="35">
        <v>2.7639999999999998</v>
      </c>
      <c r="G19" s="35">
        <v>284</v>
      </c>
      <c r="H19" s="35">
        <f>SUM(Tabla5[[#This Row],[Medtronic]:[STERIS]])</f>
        <v>1216.5929999999998</v>
      </c>
    </row>
    <row r="20" spans="1:8" x14ac:dyDescent="0.35">
      <c r="A20" s="20" t="s">
        <v>21</v>
      </c>
      <c r="B20" s="13" t="str">
        <f>LEFT(Tabla4[[#This Row],[Periodo]],2)</f>
        <v>Q3</v>
      </c>
      <c r="C20" s="13" t="str">
        <f>RIGHT(Tabla6[[#This Row],[Periodo]],5)</f>
        <v xml:space="preserve"> 2009</v>
      </c>
      <c r="D20" s="35">
        <v>3.9329999999999998</v>
      </c>
      <c r="E20" s="35">
        <v>915</v>
      </c>
      <c r="F20" s="35">
        <v>2.8889999999999998</v>
      </c>
      <c r="G20" s="35">
        <v>314</v>
      </c>
      <c r="H20" s="35">
        <f>SUM(Tabla5[[#This Row],[Medtronic]:[STERIS]])</f>
        <v>1235.8220000000001</v>
      </c>
    </row>
    <row r="21" spans="1:8" x14ac:dyDescent="0.35">
      <c r="A21" s="20" t="s">
        <v>22</v>
      </c>
      <c r="B21" s="13" t="str">
        <f>LEFT(Tabla4[[#This Row],[Periodo]],2)</f>
        <v>Q4</v>
      </c>
      <c r="C21" s="13" t="str">
        <f>RIGHT(Tabla6[[#This Row],[Periodo]],5)</f>
        <v xml:space="preserve"> 2009</v>
      </c>
      <c r="D21" s="35">
        <v>3.8380000000000001</v>
      </c>
      <c r="E21" s="35">
        <v>1.0660000000000001</v>
      </c>
      <c r="F21" s="35">
        <v>3.0350000000000001</v>
      </c>
      <c r="G21" s="35">
        <v>328</v>
      </c>
      <c r="H21" s="35">
        <f>SUM(Tabla5[[#This Row],[Medtronic]:[STERIS]])</f>
        <v>335.93900000000002</v>
      </c>
    </row>
    <row r="22" spans="1:8" x14ac:dyDescent="0.35">
      <c r="A22" s="20" t="s">
        <v>23</v>
      </c>
      <c r="B22" s="13" t="str">
        <f>LEFT(Tabla4[[#This Row],[Periodo]],2)</f>
        <v>Q1</v>
      </c>
      <c r="C22" s="13" t="str">
        <f>RIGHT(Tabla6[[#This Row],[Periodo]],5)</f>
        <v xml:space="preserve"> 2010</v>
      </c>
      <c r="D22" s="35">
        <v>3.851</v>
      </c>
      <c r="E22" s="35">
        <v>995</v>
      </c>
      <c r="F22" s="35">
        <v>2.8820000000000001</v>
      </c>
      <c r="G22" s="35">
        <v>332</v>
      </c>
      <c r="H22" s="35">
        <f>SUM(Tabla5[[#This Row],[Medtronic]:[STERIS]])</f>
        <v>1333.7329999999999</v>
      </c>
    </row>
    <row r="23" spans="1:8" x14ac:dyDescent="0.35">
      <c r="A23" s="20" t="s">
        <v>24</v>
      </c>
      <c r="B23" s="13" t="str">
        <f>LEFT(Tabla4[[#This Row],[Periodo]],2)</f>
        <v>Q2</v>
      </c>
      <c r="C23" s="13" t="str">
        <f>RIGHT(Tabla6[[#This Row],[Periodo]],5)</f>
        <v xml:space="preserve"> 2010</v>
      </c>
      <c r="D23" s="35">
        <v>3.77</v>
      </c>
      <c r="E23" s="35">
        <v>959</v>
      </c>
      <c r="F23" s="35">
        <v>2.9460000000000002</v>
      </c>
      <c r="G23" s="35">
        <v>189</v>
      </c>
      <c r="H23" s="35">
        <f>SUM(Tabla5[[#This Row],[Medtronic]:[STERIS]])</f>
        <v>1154.7159999999999</v>
      </c>
    </row>
    <row r="24" spans="1:8" x14ac:dyDescent="0.35">
      <c r="A24" s="20" t="s">
        <v>25</v>
      </c>
      <c r="B24" s="13" t="str">
        <f>LEFT(Tabla4[[#This Row],[Periodo]],2)</f>
        <v>Q3</v>
      </c>
      <c r="C24" s="13" t="str">
        <f>RIGHT(Tabla6[[#This Row],[Periodo]],5)</f>
        <v xml:space="preserve"> 2010</v>
      </c>
      <c r="D24" s="35">
        <v>3.7730000000000001</v>
      </c>
      <c r="E24" s="35">
        <v>941</v>
      </c>
      <c r="F24" s="35">
        <v>3.0579999999999998</v>
      </c>
      <c r="G24" s="35">
        <v>312</v>
      </c>
      <c r="H24" s="35">
        <f>SUM(Tabla5[[#This Row],[Medtronic]:[STERIS]])</f>
        <v>1259.8310000000001</v>
      </c>
    </row>
    <row r="25" spans="1:8" x14ac:dyDescent="0.35">
      <c r="A25" s="20" t="s">
        <v>26</v>
      </c>
      <c r="B25" s="13" t="str">
        <f>LEFT(Tabla4[[#This Row],[Periodo]],2)</f>
        <v>Q4</v>
      </c>
      <c r="C25" s="13" t="str">
        <f>RIGHT(Tabla6[[#This Row],[Periodo]],5)</f>
        <v xml:space="preserve"> 2010</v>
      </c>
      <c r="D25" s="35">
        <v>3.903</v>
      </c>
      <c r="E25" s="35">
        <v>1.0669999999999999</v>
      </c>
      <c r="F25" s="35">
        <v>3.1669999999999998</v>
      </c>
      <c r="G25" s="35">
        <v>328</v>
      </c>
      <c r="H25" s="35">
        <f>SUM(Tabla5[[#This Row],[Medtronic]:[STERIS]])</f>
        <v>336.137</v>
      </c>
    </row>
    <row r="26" spans="1:8" x14ac:dyDescent="0.35">
      <c r="A26" s="20" t="s">
        <v>27</v>
      </c>
      <c r="B26" s="13" t="str">
        <f>LEFT(Tabla4[[#This Row],[Periodo]],2)</f>
        <v>Q1</v>
      </c>
      <c r="C26" s="13" t="str">
        <f>RIGHT(Tabla6[[#This Row],[Periodo]],5)</f>
        <v xml:space="preserve"> 2011</v>
      </c>
      <c r="D26" s="35">
        <v>3.8570000000000002</v>
      </c>
      <c r="E26" s="35">
        <v>1.0549999999999999</v>
      </c>
      <c r="F26" s="35">
        <v>3.036</v>
      </c>
      <c r="G26" s="35">
        <v>378</v>
      </c>
      <c r="H26" s="35">
        <f>SUM(Tabla5[[#This Row],[Medtronic]:[STERIS]])</f>
        <v>385.94799999999998</v>
      </c>
    </row>
    <row r="27" spans="1:8" x14ac:dyDescent="0.35">
      <c r="A27" s="20" t="s">
        <v>28</v>
      </c>
      <c r="B27" s="13" t="str">
        <f>LEFT(Tabla4[[#This Row],[Periodo]],2)</f>
        <v>Q2</v>
      </c>
      <c r="C27" s="13" t="str">
        <f>RIGHT(Tabla6[[#This Row],[Periodo]],5)</f>
        <v xml:space="preserve"> 2011</v>
      </c>
      <c r="D27" s="35">
        <v>3.9750000000000001</v>
      </c>
      <c r="E27" s="35">
        <v>1.077</v>
      </c>
      <c r="F27" s="35">
        <v>3.194</v>
      </c>
      <c r="G27" s="35">
        <v>319</v>
      </c>
      <c r="H27" s="35">
        <f>SUM(Tabla5[[#This Row],[Medtronic]:[STERIS]])</f>
        <v>327.24599999999998</v>
      </c>
    </row>
    <row r="28" spans="1:8" x14ac:dyDescent="0.35">
      <c r="A28" s="20" t="s">
        <v>29</v>
      </c>
      <c r="B28" s="13" t="str">
        <f>LEFT(Tabla4[[#This Row],[Periodo]],2)</f>
        <v>Q3</v>
      </c>
      <c r="C28" s="13" t="str">
        <f>RIGHT(Tabla6[[#This Row],[Periodo]],5)</f>
        <v xml:space="preserve"> 2011</v>
      </c>
      <c r="D28" s="35">
        <v>3.9460000000000002</v>
      </c>
      <c r="E28" s="35">
        <v>1.032</v>
      </c>
      <c r="F28" s="35">
        <v>3.242</v>
      </c>
      <c r="G28" s="35">
        <v>343</v>
      </c>
      <c r="H28" s="35">
        <f>SUM(Tabla5[[#This Row],[Medtronic]:[STERIS]])</f>
        <v>351.22</v>
      </c>
    </row>
    <row r="29" spans="1:8" x14ac:dyDescent="0.35">
      <c r="A29" s="20" t="s">
        <v>30</v>
      </c>
      <c r="B29" s="13" t="str">
        <f>LEFT(Tabla4[[#This Row],[Periodo]],2)</f>
        <v>Q4</v>
      </c>
      <c r="C29" s="13" t="str">
        <f>RIGHT(Tabla6[[#This Row],[Periodo]],5)</f>
        <v xml:space="preserve"> 2011</v>
      </c>
      <c r="D29" s="35">
        <v>4.0229999999999997</v>
      </c>
      <c r="E29" s="35">
        <v>1.1060000000000001</v>
      </c>
      <c r="F29" s="35">
        <v>3.323</v>
      </c>
      <c r="G29" s="35">
        <v>355</v>
      </c>
      <c r="H29" s="35">
        <f>SUM(Tabla5[[#This Row],[Medtronic]:[STERIS]])</f>
        <v>363.452</v>
      </c>
    </row>
    <row r="30" spans="1:8" x14ac:dyDescent="0.35">
      <c r="A30" s="20" t="s">
        <v>31</v>
      </c>
      <c r="B30" s="13" t="str">
        <f>LEFT(Tabla4[[#This Row],[Periodo]],2)</f>
        <v>Q1</v>
      </c>
      <c r="C30" s="13" t="str">
        <f>RIGHT(Tabla6[[#This Row],[Periodo]],5)</f>
        <v xml:space="preserve"> 2012</v>
      </c>
      <c r="D30" s="35">
        <v>3.9180000000000001</v>
      </c>
      <c r="E30" s="35">
        <v>1.079</v>
      </c>
      <c r="F30" s="35">
        <v>3.2490000000000001</v>
      </c>
      <c r="G30" s="35">
        <v>390</v>
      </c>
      <c r="H30" s="35">
        <f>SUM(Tabla5[[#This Row],[Medtronic]:[STERIS]])</f>
        <v>398.24599999999998</v>
      </c>
    </row>
    <row r="31" spans="1:8" x14ac:dyDescent="0.35">
      <c r="A31" s="20" t="s">
        <v>32</v>
      </c>
      <c r="B31" s="13" t="str">
        <f>LEFT(Tabla4[[#This Row],[Periodo]],2)</f>
        <v>Q2</v>
      </c>
      <c r="C31" s="13" t="str">
        <f>RIGHT(Tabla6[[#This Row],[Periodo]],5)</f>
        <v xml:space="preserve"> 2012</v>
      </c>
      <c r="D31" s="35">
        <v>4.2969999999999997</v>
      </c>
      <c r="E31" s="35">
        <v>1.0289999999999999</v>
      </c>
      <c r="F31" s="35">
        <v>3.4279999999999999</v>
      </c>
      <c r="G31" s="35">
        <v>337</v>
      </c>
      <c r="H31" s="35">
        <f>SUM(Tabla5[[#This Row],[Medtronic]:[STERIS]])</f>
        <v>345.75400000000002</v>
      </c>
    </row>
    <row r="32" spans="1:8" x14ac:dyDescent="0.35">
      <c r="A32" s="20" t="s">
        <v>33</v>
      </c>
      <c r="B32" s="13" t="str">
        <f>LEFT(Tabla4[[#This Row],[Periodo]],2)</f>
        <v>Q3</v>
      </c>
      <c r="C32" s="13" t="str">
        <f>RIGHT(Tabla6[[#This Row],[Periodo]],5)</f>
        <v xml:space="preserve"> 2012</v>
      </c>
      <c r="D32" s="35">
        <v>4.008</v>
      </c>
      <c r="E32" s="35">
        <v>952</v>
      </c>
      <c r="F32" s="35">
        <v>3.4180000000000001</v>
      </c>
      <c r="G32" s="35">
        <v>356</v>
      </c>
      <c r="H32" s="35">
        <f>SUM(Tabla5[[#This Row],[Medtronic]:[STERIS]])</f>
        <v>1315.4259999999999</v>
      </c>
    </row>
    <row r="33" spans="1:8" x14ac:dyDescent="0.35">
      <c r="A33" s="20" t="s">
        <v>34</v>
      </c>
      <c r="B33" s="13" t="str">
        <f>LEFT(Tabla4[[#This Row],[Periodo]],2)</f>
        <v>Q4</v>
      </c>
      <c r="C33" s="13" t="str">
        <f>RIGHT(Tabla6[[#This Row],[Periodo]],5)</f>
        <v xml:space="preserve"> 2012</v>
      </c>
      <c r="D33" s="35">
        <v>4.0949999999999998</v>
      </c>
      <c r="E33" s="35">
        <v>1.077</v>
      </c>
      <c r="F33" s="35">
        <v>3.706</v>
      </c>
      <c r="G33" s="35">
        <v>380</v>
      </c>
      <c r="H33" s="35">
        <f>SUM(Tabla5[[#This Row],[Medtronic]:[STERIS]])</f>
        <v>388.87799999999999</v>
      </c>
    </row>
    <row r="34" spans="1:8" x14ac:dyDescent="0.35">
      <c r="A34" s="20" t="s">
        <v>35</v>
      </c>
      <c r="B34" s="13" t="str">
        <f>LEFT(Tabla4[[#This Row],[Periodo]],2)</f>
        <v>Q1</v>
      </c>
      <c r="C34" s="13" t="str">
        <f>RIGHT(Tabla6[[#This Row],[Periodo]],5)</f>
        <v xml:space="preserve"> 2013</v>
      </c>
      <c r="D34" s="35">
        <v>4.0270000000000001</v>
      </c>
      <c r="E34" s="35">
        <v>1.075</v>
      </c>
      <c r="F34" s="35">
        <v>3.464</v>
      </c>
      <c r="G34" s="35">
        <v>428</v>
      </c>
      <c r="H34" s="35">
        <f>SUM(Tabla5[[#This Row],[Medtronic]:[STERIS]])</f>
        <v>436.56599999999997</v>
      </c>
    </row>
    <row r="35" spans="1:8" x14ac:dyDescent="0.35">
      <c r="A35" s="20" t="s">
        <v>36</v>
      </c>
      <c r="B35" s="13" t="str">
        <f>LEFT(Tabla4[[#This Row],[Periodo]],2)</f>
        <v>Q2</v>
      </c>
      <c r="C35" s="13" t="str">
        <f>RIGHT(Tabla6[[#This Row],[Periodo]],5)</f>
        <v xml:space="preserve"> 2013</v>
      </c>
      <c r="D35" s="35">
        <v>4.46</v>
      </c>
      <c r="E35" s="35">
        <v>1.0740000000000001</v>
      </c>
      <c r="F35" s="35">
        <v>3.613</v>
      </c>
      <c r="G35" s="35">
        <v>368</v>
      </c>
      <c r="H35" s="35">
        <f>SUM(Tabla5[[#This Row],[Medtronic]:[STERIS]])</f>
        <v>377.14699999999999</v>
      </c>
    </row>
    <row r="36" spans="1:8" x14ac:dyDescent="0.35">
      <c r="A36" s="20" t="s">
        <v>37</v>
      </c>
      <c r="B36" s="13" t="str">
        <f>LEFT(Tabla4[[#This Row],[Periodo]],2)</f>
        <v>Q3</v>
      </c>
      <c r="C36" s="13" t="str">
        <f>RIGHT(Tabla6[[#This Row],[Periodo]],5)</f>
        <v xml:space="preserve"> 2013</v>
      </c>
      <c r="D36" s="35">
        <v>4.0830000000000002</v>
      </c>
      <c r="E36" s="35">
        <v>1.0269999999999999</v>
      </c>
      <c r="F36" s="35">
        <v>3.6659999999999999</v>
      </c>
      <c r="G36" s="35">
        <v>384</v>
      </c>
      <c r="H36" s="35">
        <f>SUM(Tabla5[[#This Row],[Medtronic]:[STERIS]])</f>
        <v>392.77600000000001</v>
      </c>
    </row>
    <row r="37" spans="1:8" x14ac:dyDescent="0.35">
      <c r="A37" s="20" t="s">
        <v>38</v>
      </c>
      <c r="B37" s="13" t="str">
        <f>LEFT(Tabla4[[#This Row],[Periodo]],2)</f>
        <v>Q4</v>
      </c>
      <c r="C37" s="13" t="str">
        <f>RIGHT(Tabla6[[#This Row],[Periodo]],5)</f>
        <v xml:space="preserve"> 2013</v>
      </c>
      <c r="D37" s="35">
        <v>4.194</v>
      </c>
      <c r="E37" s="35">
        <v>1.175</v>
      </c>
      <c r="F37" s="35">
        <v>3.867</v>
      </c>
      <c r="G37" s="35">
        <v>406</v>
      </c>
      <c r="H37" s="35">
        <f>SUM(Tabla5[[#This Row],[Medtronic]:[STERIS]])</f>
        <v>415.23599999999999</v>
      </c>
    </row>
    <row r="38" spans="1:8" x14ac:dyDescent="0.35">
      <c r="A38" s="20" t="s">
        <v>39</v>
      </c>
      <c r="B38" s="13" t="str">
        <f>LEFT(Tabla4[[#This Row],[Periodo]],2)</f>
        <v>Q1</v>
      </c>
      <c r="C38" s="13" t="str">
        <f>RIGHT(Tabla6[[#This Row],[Periodo]],5)</f>
        <v xml:space="preserve"> 2014</v>
      </c>
      <c r="D38" s="35">
        <v>4.1630000000000003</v>
      </c>
      <c r="E38" s="35">
        <v>1.073</v>
      </c>
      <c r="F38" s="35">
        <v>3.5640000000000001</v>
      </c>
      <c r="G38" s="35">
        <v>465</v>
      </c>
      <c r="H38" s="35">
        <f>SUM(Tabla5[[#This Row],[Medtronic]:[STERIS]])</f>
        <v>473.8</v>
      </c>
    </row>
    <row r="39" spans="1:8" x14ac:dyDescent="0.35">
      <c r="A39" s="20" t="s">
        <v>40</v>
      </c>
      <c r="B39" s="13" t="str">
        <f>LEFT(Tabla4[[#This Row],[Periodo]],2)</f>
        <v>Q2</v>
      </c>
      <c r="C39" s="13" t="str">
        <f>RIGHT(Tabla6[[#This Row],[Periodo]],5)</f>
        <v xml:space="preserve"> 2014</v>
      </c>
      <c r="D39" s="35">
        <v>4.5650000000000004</v>
      </c>
      <c r="E39" s="35">
        <v>1.147</v>
      </c>
      <c r="F39" s="35">
        <v>3.835</v>
      </c>
      <c r="G39" s="35">
        <v>413</v>
      </c>
      <c r="H39" s="35">
        <f>SUM(Tabla5[[#This Row],[Medtronic]:[STERIS]])</f>
        <v>422.54700000000003</v>
      </c>
    </row>
    <row r="40" spans="1:8" x14ac:dyDescent="0.35">
      <c r="A40" s="20" t="s">
        <v>41</v>
      </c>
      <c r="B40" s="13" t="str">
        <f>LEFT(Tabla4[[#This Row],[Periodo]],2)</f>
        <v>Q3</v>
      </c>
      <c r="C40" s="13" t="str">
        <f>RIGHT(Tabla6[[#This Row],[Periodo]],5)</f>
        <v xml:space="preserve"> 2014</v>
      </c>
      <c r="D40" s="35">
        <v>4.2729999999999997</v>
      </c>
      <c r="E40" s="35">
        <v>1.1479999999999999</v>
      </c>
      <c r="F40" s="35">
        <v>4.1130000000000004</v>
      </c>
      <c r="G40" s="35">
        <v>463</v>
      </c>
      <c r="H40" s="35">
        <f>SUM(Tabla5[[#This Row],[Medtronic]:[STERIS]])</f>
        <v>472.53399999999999</v>
      </c>
    </row>
    <row r="41" spans="1:8" x14ac:dyDescent="0.35">
      <c r="A41" s="20" t="s">
        <v>42</v>
      </c>
      <c r="B41" s="13" t="str">
        <f>LEFT(Tabla4[[#This Row],[Periodo]],2)</f>
        <v>Q4</v>
      </c>
      <c r="C41" s="13" t="str">
        <f>RIGHT(Tabla6[[#This Row],[Periodo]],5)</f>
        <v xml:space="preserve"> 2014</v>
      </c>
      <c r="D41" s="35">
        <v>4.3659999999999997</v>
      </c>
      <c r="E41" s="35">
        <v>1.2490000000000001</v>
      </c>
      <c r="F41" s="35">
        <v>4.32</v>
      </c>
      <c r="G41" s="35">
        <v>473</v>
      </c>
      <c r="H41" s="35">
        <f>SUM(Tabla5[[#This Row],[Medtronic]:[STERIS]])</f>
        <v>482.935</v>
      </c>
    </row>
    <row r="42" spans="1:8" x14ac:dyDescent="0.35">
      <c r="A42" s="20" t="s">
        <v>43</v>
      </c>
      <c r="B42" s="13" t="str">
        <f>LEFT(Tabla4[[#This Row],[Periodo]],2)</f>
        <v>Q1</v>
      </c>
      <c r="C42" s="13" t="str">
        <f>RIGHT(Tabla6[[#This Row],[Periodo]],5)</f>
        <v xml:space="preserve"> 2015</v>
      </c>
      <c r="D42" s="35">
        <v>4.3179999999999996</v>
      </c>
      <c r="E42" s="36" t="s">
        <v>174</v>
      </c>
      <c r="F42" s="35">
        <v>3.96</v>
      </c>
      <c r="G42" s="35">
        <v>502</v>
      </c>
      <c r="H42" s="35">
        <f>SUM(Tabla5[[#This Row],[Medtronic]:[STERIS]])</f>
        <v>510.27800000000002</v>
      </c>
    </row>
    <row r="43" spans="1:8" x14ac:dyDescent="0.35">
      <c r="A43" s="20" t="s">
        <v>44</v>
      </c>
      <c r="B43" s="13" t="str">
        <f>LEFT(Tabla4[[#This Row],[Periodo]],2)</f>
        <v>Q2</v>
      </c>
      <c r="C43" s="13" t="str">
        <f>RIGHT(Tabla6[[#This Row],[Periodo]],5)</f>
        <v xml:space="preserve"> 2015</v>
      </c>
      <c r="D43" s="35">
        <v>7.3040000000000003</v>
      </c>
      <c r="E43" s="36" t="s">
        <v>174</v>
      </c>
      <c r="F43" s="35">
        <v>4.1989999999999998</v>
      </c>
      <c r="G43" s="35">
        <v>440</v>
      </c>
      <c r="H43" s="35">
        <f>SUM(Tabla5[[#This Row],[Medtronic]:[STERIS]])</f>
        <v>451.50299999999999</v>
      </c>
    </row>
    <row r="44" spans="1:8" x14ac:dyDescent="0.35">
      <c r="A44" s="20" t="s">
        <v>45</v>
      </c>
      <c r="B44" s="13" t="str">
        <f>LEFT(Tabla4[[#This Row],[Periodo]],2)</f>
        <v>Q3</v>
      </c>
      <c r="C44" s="13" t="str">
        <f>RIGHT(Tabla6[[#This Row],[Periodo]],5)</f>
        <v xml:space="preserve"> 2015</v>
      </c>
      <c r="D44" s="35">
        <v>7.274</v>
      </c>
      <c r="E44" s="36" t="s">
        <v>174</v>
      </c>
      <c r="F44" s="35">
        <v>4.2309999999999999</v>
      </c>
      <c r="G44" s="35">
        <v>490</v>
      </c>
      <c r="H44" s="35">
        <f>SUM(Tabla5[[#This Row],[Medtronic]:[STERIS]])</f>
        <v>501.505</v>
      </c>
    </row>
    <row r="45" spans="1:8" x14ac:dyDescent="0.35">
      <c r="A45" s="20" t="s">
        <v>46</v>
      </c>
      <c r="B45" s="13" t="str">
        <f>LEFT(Tabla4[[#This Row],[Periodo]],2)</f>
        <v>Q4</v>
      </c>
      <c r="C45" s="13" t="str">
        <f>RIGHT(Tabla6[[#This Row],[Periodo]],5)</f>
        <v xml:space="preserve"> 2015</v>
      </c>
      <c r="D45" s="35">
        <v>7.0579999999999998</v>
      </c>
      <c r="E45" s="36" t="s">
        <v>174</v>
      </c>
      <c r="F45" s="35">
        <v>4.3479999999999999</v>
      </c>
      <c r="G45" s="35">
        <v>619</v>
      </c>
      <c r="H45" s="35">
        <f>SUM(Tabla5[[#This Row],[Medtronic]:[STERIS]])</f>
        <v>630.40599999999995</v>
      </c>
    </row>
    <row r="46" spans="1:8" x14ac:dyDescent="0.35">
      <c r="A46" s="20" t="s">
        <v>47</v>
      </c>
      <c r="B46" s="13" t="str">
        <f>LEFT(Tabla4[[#This Row],[Periodo]],2)</f>
        <v>Q1</v>
      </c>
      <c r="C46" s="13" t="str">
        <f>RIGHT(Tabla6[[#This Row],[Periodo]],5)</f>
        <v xml:space="preserve"> 2016</v>
      </c>
      <c r="D46" s="35">
        <v>6.9340000000000002</v>
      </c>
      <c r="E46" s="36" t="s">
        <v>174</v>
      </c>
      <c r="F46" s="35">
        <v>4.2050000000000001</v>
      </c>
      <c r="G46" s="35">
        <v>690</v>
      </c>
      <c r="H46" s="35">
        <f>SUM(Tabla5[[#This Row],[Medtronic]:[STERIS]])</f>
        <v>701.13900000000001</v>
      </c>
    </row>
    <row r="47" spans="1:8" x14ac:dyDescent="0.35">
      <c r="A47" s="20" t="s">
        <v>48</v>
      </c>
      <c r="B47" s="13" t="str">
        <f>LEFT(Tabla4[[#This Row],[Periodo]],2)</f>
        <v>Q2</v>
      </c>
      <c r="C47" s="13" t="str">
        <f>RIGHT(Tabla6[[#This Row],[Periodo]],5)</f>
        <v xml:space="preserve"> 2016</v>
      </c>
      <c r="D47" s="35">
        <v>7.5670000000000002</v>
      </c>
      <c r="E47" s="36" t="s">
        <v>174</v>
      </c>
      <c r="F47" s="35">
        <v>4.42</v>
      </c>
      <c r="G47" s="35">
        <v>638</v>
      </c>
      <c r="H47" s="35">
        <f>SUM(Tabla5[[#This Row],[Medtronic]:[STERIS]])</f>
        <v>649.98699999999997</v>
      </c>
    </row>
    <row r="48" spans="1:8" x14ac:dyDescent="0.35">
      <c r="A48" s="20" t="s">
        <v>49</v>
      </c>
      <c r="B48" s="13" t="str">
        <f>LEFT(Tabla4[[#This Row],[Periodo]],2)</f>
        <v>Q3</v>
      </c>
      <c r="C48" s="13" t="str">
        <f>RIGHT(Tabla6[[#This Row],[Periodo]],5)</f>
        <v xml:space="preserve"> 2016</v>
      </c>
      <c r="D48" s="35">
        <v>7.1660000000000004</v>
      </c>
      <c r="E48" s="36" t="s">
        <v>174</v>
      </c>
      <c r="F48" s="35">
        <v>4.5979999999999999</v>
      </c>
      <c r="G48" s="35">
        <v>646</v>
      </c>
      <c r="H48" s="35">
        <f>SUM(Tabla5[[#This Row],[Medtronic]:[STERIS]])</f>
        <v>657.76400000000001</v>
      </c>
    </row>
    <row r="49" spans="1:8" x14ac:dyDescent="0.35">
      <c r="A49" s="20" t="s">
        <v>50</v>
      </c>
      <c r="B49" s="13" t="str">
        <f>LEFT(Tabla4[[#This Row],[Periodo]],2)</f>
        <v>Q4</v>
      </c>
      <c r="C49" s="13" t="str">
        <f>RIGHT(Tabla6[[#This Row],[Periodo]],5)</f>
        <v xml:space="preserve"> 2016</v>
      </c>
      <c r="D49" s="35">
        <v>7.3449999999999998</v>
      </c>
      <c r="E49" s="36" t="s">
        <v>174</v>
      </c>
      <c r="F49" s="35">
        <v>4.6870000000000003</v>
      </c>
      <c r="G49" s="35">
        <v>647</v>
      </c>
      <c r="H49" s="35">
        <f>SUM(Tabla5[[#This Row],[Medtronic]:[STERIS]])</f>
        <v>659.03200000000004</v>
      </c>
    </row>
    <row r="50" spans="1:8" x14ac:dyDescent="0.35">
      <c r="A50" s="20" t="s">
        <v>51</v>
      </c>
      <c r="B50" s="13" t="str">
        <f>LEFT(Tabla4[[#This Row],[Periodo]],2)</f>
        <v>Q1</v>
      </c>
      <c r="C50" s="13" t="str">
        <f>RIGHT(Tabla6[[#This Row],[Periodo]],5)</f>
        <v xml:space="preserve"> 2017</v>
      </c>
      <c r="D50" s="35">
        <v>7.2830000000000004</v>
      </c>
      <c r="E50" s="36" t="s">
        <v>174</v>
      </c>
      <c r="F50" s="35">
        <v>4.8470000000000004</v>
      </c>
      <c r="G50" s="35">
        <v>681</v>
      </c>
      <c r="H50" s="35">
        <f>SUM(Tabla5[[#This Row],[Medtronic]:[STERIS]])</f>
        <v>693.13</v>
      </c>
    </row>
    <row r="51" spans="1:8" x14ac:dyDescent="0.35">
      <c r="A51" s="20" t="s">
        <v>52</v>
      </c>
      <c r="B51" s="13" t="str">
        <f>LEFT(Tabla4[[#This Row],[Periodo]],2)</f>
        <v>Q2</v>
      </c>
      <c r="C51" s="13" t="str">
        <f>RIGHT(Tabla6[[#This Row],[Periodo]],5)</f>
        <v xml:space="preserve"> 2017</v>
      </c>
      <c r="D51" s="35">
        <v>7.9160000000000004</v>
      </c>
      <c r="E51" s="36" t="s">
        <v>174</v>
      </c>
      <c r="F51" s="35">
        <v>4.9189999999999996</v>
      </c>
      <c r="G51" s="35">
        <v>608</v>
      </c>
      <c r="H51" s="35">
        <f>SUM(Tabla5[[#This Row],[Medtronic]:[STERIS]])</f>
        <v>620.83500000000004</v>
      </c>
    </row>
    <row r="52" spans="1:8" x14ac:dyDescent="0.35">
      <c r="A52" s="20" t="s">
        <v>53</v>
      </c>
      <c r="B52" s="13" t="str">
        <f>LEFT(Tabla4[[#This Row],[Periodo]],2)</f>
        <v>Q3</v>
      </c>
      <c r="C52" s="13" t="str">
        <f>RIGHT(Tabla6[[#This Row],[Periodo]],5)</f>
        <v xml:space="preserve"> 2017</v>
      </c>
      <c r="D52" s="35">
        <v>7.39</v>
      </c>
      <c r="E52" s="36" t="s">
        <v>174</v>
      </c>
      <c r="F52" s="35">
        <v>5.0960000000000001</v>
      </c>
      <c r="G52" s="35">
        <v>634</v>
      </c>
      <c r="H52" s="35">
        <f>SUM(Tabla5[[#This Row],[Medtronic]:[STERIS]])</f>
        <v>646.48599999999999</v>
      </c>
    </row>
    <row r="53" spans="1:8" x14ac:dyDescent="0.35">
      <c r="A53" s="20" t="s">
        <v>54</v>
      </c>
      <c r="B53" s="13" t="str">
        <f>LEFT(Tabla4[[#This Row],[Periodo]],2)</f>
        <v>Q4</v>
      </c>
      <c r="C53" s="13" t="str">
        <f>RIGHT(Tabla6[[#This Row],[Periodo]],5)</f>
        <v xml:space="preserve"> 2017</v>
      </c>
      <c r="D53" s="35">
        <v>7.05</v>
      </c>
      <c r="E53" s="36" t="s">
        <v>174</v>
      </c>
      <c r="F53" s="35">
        <v>5.2389999999999999</v>
      </c>
      <c r="G53" s="35">
        <v>662</v>
      </c>
      <c r="H53" s="35">
        <f>SUM(Tabla5[[#This Row],[Medtronic]:[STERIS]])</f>
        <v>674.28899999999999</v>
      </c>
    </row>
    <row r="54" spans="1:8" x14ac:dyDescent="0.35">
      <c r="A54" s="20" t="s">
        <v>55</v>
      </c>
      <c r="B54" s="13" t="str">
        <f>LEFT(Tabla4[[#This Row],[Periodo]],2)</f>
        <v>Q1</v>
      </c>
      <c r="C54" s="13" t="str">
        <f>RIGHT(Tabla6[[#This Row],[Periodo]],5)</f>
        <v xml:space="preserve"> 2018</v>
      </c>
      <c r="D54" s="35">
        <v>7.3689999999999998</v>
      </c>
      <c r="E54" s="36" t="s">
        <v>174</v>
      </c>
      <c r="F54" s="35">
        <v>4.8869999999999996</v>
      </c>
      <c r="G54" s="35">
        <v>716</v>
      </c>
      <c r="H54" s="35">
        <f>SUM(Tabla5[[#This Row],[Medtronic]:[STERIS]])</f>
        <v>728.25599999999997</v>
      </c>
    </row>
    <row r="55" spans="1:8" x14ac:dyDescent="0.35">
      <c r="A55" s="20" t="s">
        <v>56</v>
      </c>
      <c r="B55" s="13" t="str">
        <f>LEFT(Tabla4[[#This Row],[Periodo]],2)</f>
        <v>Q2</v>
      </c>
      <c r="C55" s="13" t="str">
        <f>RIGHT(Tabla6[[#This Row],[Periodo]],5)</f>
        <v xml:space="preserve"> 2018</v>
      </c>
      <c r="D55" s="35">
        <v>8.1440000000000001</v>
      </c>
      <c r="E55" s="36" t="s">
        <v>174</v>
      </c>
      <c r="F55" s="35">
        <v>5.0250000000000004</v>
      </c>
      <c r="G55" s="35">
        <v>639</v>
      </c>
      <c r="H55" s="35">
        <f>SUM(Tabla5[[#This Row],[Medtronic]:[STERIS]])</f>
        <v>652.16899999999998</v>
      </c>
    </row>
    <row r="56" spans="1:8" x14ac:dyDescent="0.35">
      <c r="A56" s="20" t="s">
        <v>57</v>
      </c>
      <c r="B56" s="13" t="str">
        <f>LEFT(Tabla4[[#This Row],[Periodo]],2)</f>
        <v>Q3</v>
      </c>
      <c r="C56" s="13" t="str">
        <f>RIGHT(Tabla6[[#This Row],[Periodo]],5)</f>
        <v xml:space="preserve"> 2018</v>
      </c>
      <c r="D56" s="35">
        <v>7.3840000000000003</v>
      </c>
      <c r="E56" s="36" t="s">
        <v>174</v>
      </c>
      <c r="F56" s="35">
        <v>4.718</v>
      </c>
      <c r="G56" s="35">
        <v>679</v>
      </c>
      <c r="H56" s="35">
        <f>SUM(Tabla5[[#This Row],[Medtronic]:[STERIS]])</f>
        <v>691.10199999999998</v>
      </c>
    </row>
    <row r="57" spans="1:8" x14ac:dyDescent="0.35">
      <c r="A57" s="20" t="s">
        <v>58</v>
      </c>
      <c r="B57" s="13" t="str">
        <f>LEFT(Tabla4[[#This Row],[Periodo]],2)</f>
        <v>Q4</v>
      </c>
      <c r="C57" s="13" t="str">
        <f>RIGHT(Tabla6[[#This Row],[Periodo]],5)</f>
        <v xml:space="preserve"> 2018</v>
      </c>
      <c r="D57" s="35">
        <v>7.4809999999999999</v>
      </c>
      <c r="E57" s="36" t="s">
        <v>174</v>
      </c>
      <c r="F57" s="35">
        <v>4.9119999999999999</v>
      </c>
      <c r="G57" s="35">
        <v>696</v>
      </c>
      <c r="H57" s="35">
        <f>SUM(Tabla5[[#This Row],[Medtronic]:[STERIS]])</f>
        <v>708.39300000000003</v>
      </c>
    </row>
    <row r="58" spans="1:8" x14ac:dyDescent="0.35">
      <c r="A58" s="20" t="s">
        <v>59</v>
      </c>
      <c r="B58" s="13" t="str">
        <f>LEFT(Tabla4[[#This Row],[Periodo]],2)</f>
        <v>Q1</v>
      </c>
      <c r="C58" s="13" t="str">
        <f>RIGHT(Tabla6[[#This Row],[Periodo]],5)</f>
        <v xml:space="preserve"> 2019</v>
      </c>
      <c r="D58" s="35">
        <v>7.5460000000000003</v>
      </c>
      <c r="E58" s="36" t="s">
        <v>174</v>
      </c>
      <c r="F58" s="35">
        <v>4.694</v>
      </c>
      <c r="G58" s="35">
        <v>768</v>
      </c>
      <c r="H58" s="35">
        <f>SUM(Tabla5[[#This Row],[Medtronic]:[STERIS]])</f>
        <v>780.24</v>
      </c>
    </row>
    <row r="59" spans="1:8" x14ac:dyDescent="0.35">
      <c r="A59" s="30" t="s">
        <v>60</v>
      </c>
      <c r="B59" s="13" t="str">
        <f>LEFT(Tabla4[[#This Row],[Periodo]],2)</f>
        <v>Q2</v>
      </c>
      <c r="C59" s="13" t="str">
        <f>RIGHT(Tabla6[[#This Row],[Periodo]],5)</f>
        <v xml:space="preserve"> 2019</v>
      </c>
      <c r="D59" s="35">
        <v>8.1460000000000008</v>
      </c>
      <c r="E59" s="36" t="s">
        <v>174</v>
      </c>
      <c r="F59" s="35">
        <v>4.8840000000000003</v>
      </c>
      <c r="G59" s="35">
        <v>697</v>
      </c>
      <c r="H59" s="35">
        <f>SUM(Tabla5[[#This Row],[Medtronic]:[STERIS]])</f>
        <v>710.03</v>
      </c>
    </row>
    <row r="60" spans="1:8" x14ac:dyDescent="0.35">
      <c r="A60" s="21" t="s">
        <v>61</v>
      </c>
      <c r="B60" s="13" t="str">
        <f>LEFT(Tabla4[[#This Row],[Periodo]],2)</f>
        <v>Q3</v>
      </c>
      <c r="C60" s="13" t="str">
        <f>RIGHT(Tabla6[[#This Row],[Periodo]],5)</f>
        <v xml:space="preserve"> 2019</v>
      </c>
      <c r="D60" s="35">
        <v>7.4930000000000003</v>
      </c>
      <c r="E60" s="36" t="s">
        <v>174</v>
      </c>
      <c r="F60" s="35">
        <v>4.9139999999999997</v>
      </c>
      <c r="G60" s="35">
        <v>737</v>
      </c>
      <c r="H60" s="130">
        <f>SUM(Tabla5[[#This Row],[Medtronic]:[STERIS]])</f>
        <v>749.40700000000004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3FA1-56E6-42BB-B1E2-B739701A4017}">
  <dimension ref="A1:T60"/>
  <sheetViews>
    <sheetView workbookViewId="0">
      <selection activeCell="D19" sqref="D19"/>
    </sheetView>
  </sheetViews>
  <sheetFormatPr baseColWidth="10" defaultRowHeight="14.5" x14ac:dyDescent="0.35"/>
  <cols>
    <col min="4" max="4" width="12" customWidth="1"/>
    <col min="6" max="6" width="17.453125" customWidth="1"/>
    <col min="8" max="8" width="16" customWidth="1"/>
    <col min="11" max="11" width="13" customWidth="1"/>
    <col min="13" max="13" width="23.7265625" customWidth="1"/>
    <col min="14" max="14" width="17.36328125" customWidth="1"/>
    <col min="15" max="15" width="19.54296875" customWidth="1"/>
    <col min="16" max="16" width="11.453125" customWidth="1"/>
    <col min="19" max="19" width="15.26953125" customWidth="1"/>
  </cols>
  <sheetData>
    <row r="1" spans="1:20" s="19" customFormat="1" x14ac:dyDescent="0.35">
      <c r="A1" s="16" t="s">
        <v>616</v>
      </c>
      <c r="B1" s="16" t="s">
        <v>619</v>
      </c>
      <c r="C1" s="16" t="s">
        <v>618</v>
      </c>
      <c r="D1" s="17" t="s">
        <v>62</v>
      </c>
      <c r="E1" s="18" t="s">
        <v>68</v>
      </c>
      <c r="F1" s="16" t="s">
        <v>70</v>
      </c>
      <c r="G1" s="18" t="s">
        <v>72</v>
      </c>
      <c r="H1" s="16" t="s">
        <v>74</v>
      </c>
      <c r="I1" s="18" t="s">
        <v>91</v>
      </c>
      <c r="J1" s="15" t="s">
        <v>175</v>
      </c>
      <c r="K1" s="16" t="s">
        <v>221</v>
      </c>
      <c r="L1" s="17" t="s">
        <v>273</v>
      </c>
      <c r="M1" s="16" t="s">
        <v>321</v>
      </c>
      <c r="N1" s="17" t="s">
        <v>329</v>
      </c>
      <c r="O1" s="16" t="s">
        <v>373</v>
      </c>
      <c r="P1" s="16" t="s">
        <v>423</v>
      </c>
      <c r="Q1" s="18" t="s">
        <v>459</v>
      </c>
      <c r="R1" s="16" t="s">
        <v>483</v>
      </c>
      <c r="S1" s="16" t="s">
        <v>552</v>
      </c>
      <c r="T1" s="15" t="s">
        <v>588</v>
      </c>
    </row>
    <row r="2" spans="1:20" x14ac:dyDescent="0.35">
      <c r="A2" s="13" t="s">
        <v>3</v>
      </c>
      <c r="B2" s="13" t="str">
        <f>LEFT(Tabla4[[#This Row],[Periodo]],2)</f>
        <v>Q1</v>
      </c>
      <c r="C2" s="13" t="str">
        <f>RIGHT(Tabla4[[#This Row],[Periodo]],5)</f>
        <v xml:space="preserve"> 2005</v>
      </c>
      <c r="D2" s="37">
        <v>5.383</v>
      </c>
      <c r="E2" s="38">
        <v>1.2030000000000001</v>
      </c>
      <c r="F2" s="35">
        <v>1.615</v>
      </c>
      <c r="G2" s="38">
        <v>2.383</v>
      </c>
      <c r="H2" s="35">
        <v>829</v>
      </c>
      <c r="I2" s="38">
        <v>108</v>
      </c>
      <c r="J2" s="39" t="s">
        <v>174</v>
      </c>
      <c r="K2" s="35">
        <v>299</v>
      </c>
      <c r="L2" s="37" t="s">
        <v>174</v>
      </c>
      <c r="M2" s="35">
        <v>559</v>
      </c>
      <c r="N2" s="37">
        <v>42</v>
      </c>
      <c r="O2" s="35">
        <v>249</v>
      </c>
      <c r="P2" s="35">
        <v>152</v>
      </c>
      <c r="Q2" s="39" t="s">
        <v>174</v>
      </c>
      <c r="R2" s="35">
        <v>624</v>
      </c>
      <c r="S2" s="35">
        <v>351</v>
      </c>
      <c r="T2" s="39" t="s">
        <v>174</v>
      </c>
    </row>
    <row r="3" spans="1:20" x14ac:dyDescent="0.35">
      <c r="A3" s="13" t="s">
        <v>4</v>
      </c>
      <c r="B3" s="13" t="str">
        <f>LEFT(Tabla4[[#This Row],[Periodo]],2)</f>
        <v>Q2</v>
      </c>
      <c r="C3" s="13" t="str">
        <f>RIGHT(Tabla4[[#This Row],[Periodo]],5)</f>
        <v xml:space="preserve"> 2005</v>
      </c>
      <c r="D3" s="37">
        <v>5.524</v>
      </c>
      <c r="E3" s="38">
        <v>1.2190000000000001</v>
      </c>
      <c r="F3" s="35">
        <v>1.617</v>
      </c>
      <c r="G3" s="38">
        <v>2.577</v>
      </c>
      <c r="H3" s="35">
        <v>847</v>
      </c>
      <c r="I3" s="38">
        <v>125</v>
      </c>
      <c r="J3" s="39" t="s">
        <v>174</v>
      </c>
      <c r="K3" s="35">
        <v>291</v>
      </c>
      <c r="L3" s="37">
        <v>69</v>
      </c>
      <c r="M3" s="35">
        <v>654</v>
      </c>
      <c r="N3" s="37">
        <v>53</v>
      </c>
      <c r="O3" s="35">
        <v>258</v>
      </c>
      <c r="P3" s="35">
        <v>161</v>
      </c>
      <c r="Q3" s="39" t="s">
        <v>174</v>
      </c>
      <c r="R3" s="35">
        <v>657</v>
      </c>
      <c r="S3" s="35">
        <v>347</v>
      </c>
      <c r="T3" s="39" t="s">
        <v>174</v>
      </c>
    </row>
    <row r="4" spans="1:20" x14ac:dyDescent="0.35">
      <c r="A4" s="13" t="s">
        <v>5</v>
      </c>
      <c r="B4" s="13" t="str">
        <f>LEFT(Tabla4[[#This Row],[Periodo]],2)</f>
        <v>Q3</v>
      </c>
      <c r="C4" s="13" t="str">
        <f>RIGHT(Tabla4[[#This Row],[Periodo]],5)</f>
        <v xml:space="preserve"> 2005</v>
      </c>
      <c r="D4" s="37">
        <v>5.3840000000000003</v>
      </c>
      <c r="E4" s="38">
        <v>1.1719999999999999</v>
      </c>
      <c r="F4" s="35">
        <v>1.5109999999999999</v>
      </c>
      <c r="G4" s="38">
        <v>2.3980000000000001</v>
      </c>
      <c r="H4" s="35">
        <v>763</v>
      </c>
      <c r="I4" s="38">
        <v>127</v>
      </c>
      <c r="J4" s="39" t="s">
        <v>174</v>
      </c>
      <c r="K4" s="35">
        <v>283</v>
      </c>
      <c r="L4" s="37">
        <v>74</v>
      </c>
      <c r="M4" s="35">
        <v>679</v>
      </c>
      <c r="N4" s="37">
        <v>61</v>
      </c>
      <c r="O4" s="35">
        <v>241</v>
      </c>
      <c r="P4" s="35">
        <v>158</v>
      </c>
      <c r="Q4" s="39" t="s">
        <v>174</v>
      </c>
      <c r="R4" s="35">
        <v>587</v>
      </c>
      <c r="S4" s="35">
        <v>386</v>
      </c>
      <c r="T4" s="39" t="s">
        <v>174</v>
      </c>
    </row>
    <row r="5" spans="1:20" x14ac:dyDescent="0.35">
      <c r="A5" s="13" t="s">
        <v>6</v>
      </c>
      <c r="B5" s="13" t="str">
        <f>LEFT(Tabla4[[#This Row],[Periodo]],2)</f>
        <v>Q4</v>
      </c>
      <c r="C5" s="13" t="str">
        <f>RIGHT(Tabla4[[#This Row],[Periodo]],5)</f>
        <v xml:space="preserve"> 2005</v>
      </c>
      <c r="D5" s="37">
        <v>6.0469999999999997</v>
      </c>
      <c r="E5" s="38">
        <v>1.016</v>
      </c>
      <c r="F5" s="35">
        <v>1.54</v>
      </c>
      <c r="G5" s="38">
        <v>2.4910000000000001</v>
      </c>
      <c r="H5" s="35">
        <v>848</v>
      </c>
      <c r="I5" s="38">
        <v>146</v>
      </c>
      <c r="J5" s="39" t="s">
        <v>174</v>
      </c>
      <c r="K5" s="35">
        <v>307</v>
      </c>
      <c r="L5" s="37">
        <v>78</v>
      </c>
      <c r="M5" s="35">
        <v>741</v>
      </c>
      <c r="N5" s="37">
        <v>72</v>
      </c>
      <c r="O5" s="35">
        <v>250</v>
      </c>
      <c r="P5" s="35">
        <v>167</v>
      </c>
      <c r="Q5" s="39" t="s">
        <v>174</v>
      </c>
      <c r="R5" s="35">
        <v>647</v>
      </c>
      <c r="S5" s="35">
        <v>334</v>
      </c>
      <c r="T5" s="39" t="s">
        <v>174</v>
      </c>
    </row>
    <row r="6" spans="1:20" x14ac:dyDescent="0.35">
      <c r="A6" s="13" t="s">
        <v>7</v>
      </c>
      <c r="B6" s="13" t="str">
        <f>LEFT(Tabla4[[#This Row],[Periodo]],2)</f>
        <v>Q1</v>
      </c>
      <c r="C6" s="13" t="str">
        <f>RIGHT(Tabla4[[#This Row],[Periodo]],5)</f>
        <v xml:space="preserve"> 2006</v>
      </c>
      <c r="D6" s="37">
        <v>4.58</v>
      </c>
      <c r="E6" s="38">
        <v>1.321</v>
      </c>
      <c r="F6" s="35">
        <v>1.62</v>
      </c>
      <c r="G6" s="38">
        <v>2.4089999999999998</v>
      </c>
      <c r="H6" s="35">
        <v>860</v>
      </c>
      <c r="I6" s="38">
        <v>162</v>
      </c>
      <c r="J6" s="39">
        <v>0</v>
      </c>
      <c r="K6" s="35">
        <v>308</v>
      </c>
      <c r="L6" s="37">
        <v>88</v>
      </c>
      <c r="M6" s="35">
        <v>684</v>
      </c>
      <c r="N6" s="37">
        <v>77</v>
      </c>
      <c r="O6" s="35">
        <v>257</v>
      </c>
      <c r="P6" s="35">
        <v>168</v>
      </c>
      <c r="Q6" s="39" t="s">
        <v>174</v>
      </c>
      <c r="R6" s="35">
        <v>600</v>
      </c>
      <c r="S6" s="35">
        <v>414</v>
      </c>
      <c r="T6" s="39" t="s">
        <v>174</v>
      </c>
    </row>
    <row r="7" spans="1:20" x14ac:dyDescent="0.35">
      <c r="A7" s="13" t="s">
        <v>8</v>
      </c>
      <c r="B7" s="13" t="str">
        <f>LEFT(Tabla4[[#This Row],[Periodo]],2)</f>
        <v>Q2</v>
      </c>
      <c r="C7" s="13" t="str">
        <f>RIGHT(Tabla4[[#This Row],[Periodo]],5)</f>
        <v xml:space="preserve"> 2006</v>
      </c>
      <c r="D7" s="37">
        <v>5.5010000000000003</v>
      </c>
      <c r="E7" s="38">
        <v>1.262</v>
      </c>
      <c r="F7" s="35">
        <v>2.11</v>
      </c>
      <c r="G7" s="38">
        <v>2.649</v>
      </c>
      <c r="H7" s="35">
        <v>882</v>
      </c>
      <c r="I7" s="38">
        <v>171</v>
      </c>
      <c r="J7" s="40">
        <v>1</v>
      </c>
      <c r="K7" s="35">
        <v>318</v>
      </c>
      <c r="L7" s="37">
        <v>101</v>
      </c>
      <c r="M7" s="35">
        <v>714</v>
      </c>
      <c r="N7" s="37">
        <v>87</v>
      </c>
      <c r="O7" s="35">
        <v>267</v>
      </c>
      <c r="P7" s="35">
        <v>191</v>
      </c>
      <c r="Q7" s="39" t="s">
        <v>174</v>
      </c>
      <c r="R7" s="35">
        <v>650</v>
      </c>
      <c r="S7" s="35">
        <v>396</v>
      </c>
      <c r="T7" s="39" t="s">
        <v>174</v>
      </c>
    </row>
    <row r="8" spans="1:20" x14ac:dyDescent="0.35">
      <c r="A8" s="13" t="s">
        <v>9</v>
      </c>
      <c r="B8" s="13" t="str">
        <f>LEFT(Tabla4[[#This Row],[Periodo]],2)</f>
        <v>Q3</v>
      </c>
      <c r="C8" s="13" t="str">
        <f>RIGHT(Tabla4[[#This Row],[Periodo]],5)</f>
        <v xml:space="preserve"> 2006</v>
      </c>
      <c r="D8" s="37">
        <v>5.5739999999999998</v>
      </c>
      <c r="E8" s="38">
        <v>1.2310000000000001</v>
      </c>
      <c r="F8" s="35">
        <v>2.0259999999999998</v>
      </c>
      <c r="G8" s="38">
        <v>2.5569999999999999</v>
      </c>
      <c r="H8" s="35">
        <v>820</v>
      </c>
      <c r="I8" s="38">
        <v>164</v>
      </c>
      <c r="J8" s="40">
        <v>1</v>
      </c>
      <c r="K8" s="35">
        <v>305</v>
      </c>
      <c r="L8" s="37">
        <v>120</v>
      </c>
      <c r="M8" s="35">
        <v>725</v>
      </c>
      <c r="N8" s="37">
        <v>96</v>
      </c>
      <c r="O8" s="35">
        <v>247</v>
      </c>
      <c r="P8" s="35">
        <v>187</v>
      </c>
      <c r="Q8" s="38">
        <v>1</v>
      </c>
      <c r="R8" s="35">
        <v>606</v>
      </c>
      <c r="S8" s="35">
        <v>454</v>
      </c>
      <c r="T8" s="40">
        <v>56</v>
      </c>
    </row>
    <row r="9" spans="1:20" x14ac:dyDescent="0.35">
      <c r="A9" s="13" t="s">
        <v>10</v>
      </c>
      <c r="B9" s="13" t="str">
        <f>LEFT(Tabla4[[#This Row],[Periodo]],2)</f>
        <v>Q4</v>
      </c>
      <c r="C9" s="13" t="str">
        <f>RIGHT(Tabla4[[#This Row],[Periodo]],5)</f>
        <v xml:space="preserve"> 2006</v>
      </c>
      <c r="D9" s="37">
        <v>6.8209999999999997</v>
      </c>
      <c r="E9" s="38">
        <v>1.333</v>
      </c>
      <c r="F9" s="35">
        <v>2.0649999999999999</v>
      </c>
      <c r="G9" s="38">
        <v>2.7629999999999999</v>
      </c>
      <c r="H9" s="35">
        <v>934</v>
      </c>
      <c r="I9" s="38">
        <v>178</v>
      </c>
      <c r="J9" s="40">
        <v>2</v>
      </c>
      <c r="K9" s="35">
        <v>343</v>
      </c>
      <c r="L9" s="37">
        <v>154</v>
      </c>
      <c r="M9" s="35">
        <v>1.669</v>
      </c>
      <c r="N9" s="37">
        <v>113</v>
      </c>
      <c r="O9" s="35">
        <v>266</v>
      </c>
      <c r="P9" s="35">
        <v>192</v>
      </c>
      <c r="Q9" s="38">
        <v>1</v>
      </c>
      <c r="R9" s="35">
        <v>449</v>
      </c>
      <c r="S9" s="35">
        <v>388</v>
      </c>
      <c r="T9" s="40">
        <v>58</v>
      </c>
    </row>
    <row r="10" spans="1:20" x14ac:dyDescent="0.35">
      <c r="A10" s="13" t="s">
        <v>11</v>
      </c>
      <c r="B10" s="13" t="str">
        <f>LEFT(Tabla4[[#This Row],[Periodo]],2)</f>
        <v>Q1</v>
      </c>
      <c r="C10" s="13" t="str">
        <f>RIGHT(Tabla4[[#This Row],[Periodo]],5)</f>
        <v xml:space="preserve"> 2007</v>
      </c>
      <c r="D10" s="37">
        <v>5.9459999999999997</v>
      </c>
      <c r="E10" s="38">
        <v>1.4259999999999999</v>
      </c>
      <c r="F10" s="35">
        <v>2.0859999999999999</v>
      </c>
      <c r="G10" s="38">
        <v>2.6749999999999998</v>
      </c>
      <c r="H10" s="35">
        <v>950</v>
      </c>
      <c r="I10" s="38">
        <v>183</v>
      </c>
      <c r="J10" s="40">
        <v>2</v>
      </c>
      <c r="K10" s="35">
        <v>323</v>
      </c>
      <c r="L10" s="37">
        <v>163</v>
      </c>
      <c r="M10" s="35">
        <v>2.3380000000000001</v>
      </c>
      <c r="N10" s="37">
        <v>114</v>
      </c>
      <c r="O10" s="35">
        <v>264</v>
      </c>
      <c r="P10" s="35">
        <v>211</v>
      </c>
      <c r="Q10" s="38">
        <v>1</v>
      </c>
      <c r="R10" s="35">
        <v>440</v>
      </c>
      <c r="S10" s="35">
        <v>443</v>
      </c>
      <c r="T10" s="40">
        <v>59</v>
      </c>
    </row>
    <row r="11" spans="1:20" x14ac:dyDescent="0.35">
      <c r="A11" s="13" t="s">
        <v>12</v>
      </c>
      <c r="B11" s="13" t="str">
        <f>LEFT(Tabla4[[#This Row],[Periodo]],2)</f>
        <v>Q2</v>
      </c>
      <c r="C11" s="13" t="str">
        <f>RIGHT(Tabla4[[#This Row],[Periodo]],5)</f>
        <v xml:space="preserve"> 2007</v>
      </c>
      <c r="D11" s="37">
        <v>6.3710000000000004</v>
      </c>
      <c r="E11" s="38">
        <v>1.464</v>
      </c>
      <c r="F11" s="35">
        <v>2.0710000000000002</v>
      </c>
      <c r="G11" s="38">
        <v>2.8290000000000002</v>
      </c>
      <c r="H11" s="35">
        <v>971</v>
      </c>
      <c r="I11" s="38">
        <v>191</v>
      </c>
      <c r="J11" s="40">
        <v>3</v>
      </c>
      <c r="K11" s="35">
        <v>339</v>
      </c>
      <c r="L11" s="37">
        <v>181</v>
      </c>
      <c r="M11" s="35">
        <v>2.3860000000000001</v>
      </c>
      <c r="N11" s="37">
        <v>140</v>
      </c>
      <c r="O11" s="35">
        <v>273</v>
      </c>
      <c r="P11" s="35">
        <v>237</v>
      </c>
      <c r="Q11" s="38">
        <v>1</v>
      </c>
      <c r="R11" s="35">
        <v>452</v>
      </c>
      <c r="S11" s="35">
        <v>424</v>
      </c>
      <c r="T11" s="40">
        <v>64</v>
      </c>
    </row>
    <row r="12" spans="1:20" x14ac:dyDescent="0.35">
      <c r="A12" s="13" t="s">
        <v>13</v>
      </c>
      <c r="B12" s="13" t="str">
        <f>LEFT(Tabla4[[#This Row],[Periodo]],2)</f>
        <v>Q3</v>
      </c>
      <c r="C12" s="13" t="str">
        <f>RIGHT(Tabla4[[#This Row],[Periodo]],5)</f>
        <v xml:space="preserve"> 2007</v>
      </c>
      <c r="D12" s="37">
        <v>6.3769999999999998</v>
      </c>
      <c r="E12" s="38">
        <v>1.4530000000000001</v>
      </c>
      <c r="F12" s="35">
        <v>2.048</v>
      </c>
      <c r="G12" s="38">
        <v>2.75</v>
      </c>
      <c r="H12" s="35">
        <v>903</v>
      </c>
      <c r="I12" s="38">
        <v>186</v>
      </c>
      <c r="J12" s="40">
        <v>4</v>
      </c>
      <c r="K12" s="35">
        <v>340</v>
      </c>
      <c r="L12" s="37">
        <v>192</v>
      </c>
      <c r="M12" s="35">
        <v>2.4009999999999998</v>
      </c>
      <c r="N12" s="37">
        <v>157</v>
      </c>
      <c r="O12" s="35">
        <v>261</v>
      </c>
      <c r="P12" s="35">
        <v>229</v>
      </c>
      <c r="Q12" s="38">
        <v>1</v>
      </c>
      <c r="R12" s="35">
        <v>459</v>
      </c>
      <c r="S12" s="35">
        <v>501</v>
      </c>
      <c r="T12" s="40">
        <v>64</v>
      </c>
    </row>
    <row r="13" spans="1:20" x14ac:dyDescent="0.35">
      <c r="A13" s="13" t="s">
        <v>14</v>
      </c>
      <c r="B13" s="13" t="str">
        <f>LEFT(Tabla4[[#This Row],[Periodo]],2)</f>
        <v>Q4</v>
      </c>
      <c r="C13" s="13" t="str">
        <f>RIGHT(Tabla4[[#This Row],[Periodo]],5)</f>
        <v xml:space="preserve"> 2007</v>
      </c>
      <c r="D13" s="37">
        <v>7.2210000000000001</v>
      </c>
      <c r="E13" s="38">
        <v>1.6579999999999999</v>
      </c>
      <c r="F13" s="35">
        <v>2.1520000000000001</v>
      </c>
      <c r="G13" s="38">
        <v>3.0089999999999999</v>
      </c>
      <c r="H13" s="35">
        <v>1.0740000000000001</v>
      </c>
      <c r="I13" s="38">
        <v>203</v>
      </c>
      <c r="J13" s="40">
        <v>4</v>
      </c>
      <c r="K13" s="35">
        <v>460</v>
      </c>
      <c r="L13" s="37">
        <v>203</v>
      </c>
      <c r="M13" s="35">
        <v>2.621</v>
      </c>
      <c r="N13" s="37">
        <v>189</v>
      </c>
      <c r="O13" s="35">
        <v>293</v>
      </c>
      <c r="P13" s="35">
        <v>245</v>
      </c>
      <c r="Q13" s="38">
        <v>2</v>
      </c>
      <c r="R13" s="35">
        <v>224</v>
      </c>
      <c r="S13" s="35">
        <v>451</v>
      </c>
      <c r="T13" s="40">
        <v>69</v>
      </c>
    </row>
    <row r="14" spans="1:20" x14ac:dyDescent="0.35">
      <c r="A14" s="13" t="s">
        <v>15</v>
      </c>
      <c r="B14" s="13" t="str">
        <f>LEFT(Tabla4[[#This Row],[Periodo]],2)</f>
        <v>Q1</v>
      </c>
      <c r="C14" s="13" t="str">
        <f>RIGHT(Tabla4[[#This Row],[Periodo]],5)</f>
        <v xml:space="preserve"> 2008</v>
      </c>
      <c r="D14" s="37">
        <v>6.766</v>
      </c>
      <c r="E14" s="38">
        <v>1.6339999999999999</v>
      </c>
      <c r="F14" s="35">
        <v>2.0459999999999998</v>
      </c>
      <c r="G14" s="38">
        <v>2.8769999999999998</v>
      </c>
      <c r="H14" s="35">
        <v>1.0589999999999999</v>
      </c>
      <c r="I14" s="38">
        <v>212</v>
      </c>
      <c r="J14" s="40">
        <v>7</v>
      </c>
      <c r="K14" s="35">
        <v>422</v>
      </c>
      <c r="L14" s="37">
        <v>371</v>
      </c>
      <c r="M14" s="35">
        <v>2.5539999999999998</v>
      </c>
      <c r="N14" s="37">
        <v>188</v>
      </c>
      <c r="O14" s="35">
        <v>297</v>
      </c>
      <c r="P14" s="35">
        <v>249</v>
      </c>
      <c r="Q14" s="38">
        <v>2</v>
      </c>
      <c r="R14" s="35">
        <v>542</v>
      </c>
      <c r="S14" s="35">
        <v>518</v>
      </c>
      <c r="T14" s="40">
        <v>71</v>
      </c>
    </row>
    <row r="15" spans="1:20" x14ac:dyDescent="0.35">
      <c r="A15" s="13" t="s">
        <v>16</v>
      </c>
      <c r="B15" s="13" t="str">
        <f>LEFT(Tabla4[[#This Row],[Periodo]],2)</f>
        <v>Q2</v>
      </c>
      <c r="C15" s="13" t="str">
        <f>RIGHT(Tabla4[[#This Row],[Periodo]],5)</f>
        <v xml:space="preserve"> 2008</v>
      </c>
      <c r="D15" s="37">
        <v>7.3140000000000001</v>
      </c>
      <c r="E15" s="38">
        <v>1.7130000000000001</v>
      </c>
      <c r="F15" s="35">
        <v>2.024</v>
      </c>
      <c r="G15" s="38">
        <v>3.1890000000000001</v>
      </c>
      <c r="H15" s="35">
        <v>1.08</v>
      </c>
      <c r="I15" s="38">
        <v>235</v>
      </c>
      <c r="J15" s="40">
        <v>7</v>
      </c>
      <c r="K15" s="35">
        <v>452</v>
      </c>
      <c r="L15" s="37">
        <v>431</v>
      </c>
      <c r="M15" s="35">
        <v>2.71</v>
      </c>
      <c r="N15" s="37">
        <v>219</v>
      </c>
      <c r="O15" s="35">
        <v>328</v>
      </c>
      <c r="P15" s="35">
        <v>281</v>
      </c>
      <c r="Q15" s="38">
        <v>2</v>
      </c>
      <c r="R15" s="35">
        <v>560</v>
      </c>
      <c r="S15" s="35">
        <v>507</v>
      </c>
      <c r="T15" s="40">
        <v>75</v>
      </c>
    </row>
    <row r="16" spans="1:20" x14ac:dyDescent="0.35">
      <c r="A16" s="13" t="s">
        <v>17</v>
      </c>
      <c r="B16" s="13" t="str">
        <f>LEFT(Tabla4[[#This Row],[Periodo]],2)</f>
        <v>Q3</v>
      </c>
      <c r="C16" s="13" t="str">
        <f>RIGHT(Tabla4[[#This Row],[Periodo]],5)</f>
        <v xml:space="preserve"> 2008</v>
      </c>
      <c r="D16" s="37">
        <v>7.4980000000000002</v>
      </c>
      <c r="E16" s="38">
        <v>1.653</v>
      </c>
      <c r="F16" s="35">
        <v>1.978</v>
      </c>
      <c r="G16" s="38">
        <v>3.1509999999999998</v>
      </c>
      <c r="H16" s="35">
        <v>952</v>
      </c>
      <c r="I16" s="38">
        <v>218</v>
      </c>
      <c r="J16" s="40">
        <v>10</v>
      </c>
      <c r="K16" s="35">
        <v>442</v>
      </c>
      <c r="L16" s="37">
        <v>429</v>
      </c>
      <c r="M16" s="35">
        <v>2.5880000000000001</v>
      </c>
      <c r="N16" s="37">
        <v>236</v>
      </c>
      <c r="O16" s="35">
        <v>304</v>
      </c>
      <c r="P16" s="35">
        <v>251</v>
      </c>
      <c r="Q16" s="38">
        <v>2</v>
      </c>
      <c r="R16" s="35">
        <v>504</v>
      </c>
      <c r="S16" s="35">
        <v>593</v>
      </c>
      <c r="T16" s="40">
        <v>78</v>
      </c>
    </row>
    <row r="17" spans="1:20" x14ac:dyDescent="0.35">
      <c r="A17" s="13" t="s">
        <v>18</v>
      </c>
      <c r="B17" s="13" t="str">
        <f>LEFT(Tabla4[[#This Row],[Periodo]],2)</f>
        <v>Q4</v>
      </c>
      <c r="C17" s="13" t="str">
        <f>RIGHT(Tabla4[[#This Row],[Periodo]],5)</f>
        <v xml:space="preserve"> 2008</v>
      </c>
      <c r="D17" s="37">
        <v>7.95</v>
      </c>
      <c r="E17" s="38">
        <v>1.718</v>
      </c>
      <c r="F17" s="35">
        <v>2.0019999999999998</v>
      </c>
      <c r="G17" s="38">
        <v>3.1309999999999998</v>
      </c>
      <c r="H17" s="35">
        <v>1.03</v>
      </c>
      <c r="I17" s="38">
        <v>223</v>
      </c>
      <c r="J17" s="40">
        <v>12</v>
      </c>
      <c r="K17" s="35">
        <v>448</v>
      </c>
      <c r="L17" s="37">
        <v>443</v>
      </c>
      <c r="M17" s="35">
        <v>2.6459999999999999</v>
      </c>
      <c r="N17" s="37">
        <v>232</v>
      </c>
      <c r="O17" s="35">
        <v>310</v>
      </c>
      <c r="P17" s="35">
        <v>243</v>
      </c>
      <c r="Q17" s="38">
        <v>4</v>
      </c>
      <c r="R17" s="35">
        <v>306</v>
      </c>
      <c r="S17" s="35">
        <v>509</v>
      </c>
      <c r="T17" s="40">
        <v>83</v>
      </c>
    </row>
    <row r="18" spans="1:20" x14ac:dyDescent="0.35">
      <c r="A18" s="13" t="s">
        <v>19</v>
      </c>
      <c r="B18" s="13" t="str">
        <f>LEFT(Tabla4[[#This Row],[Periodo]],2)</f>
        <v>Q1</v>
      </c>
      <c r="C18" s="13" t="str">
        <f>RIGHT(Tabla4[[#This Row],[Periodo]],5)</f>
        <v xml:space="preserve"> 2009</v>
      </c>
      <c r="D18" s="37">
        <v>6.718</v>
      </c>
      <c r="E18" s="38">
        <v>1.601</v>
      </c>
      <c r="F18" s="35">
        <v>2.0099999999999998</v>
      </c>
      <c r="G18" s="38">
        <v>2.8239999999999998</v>
      </c>
      <c r="H18" s="35">
        <v>993</v>
      </c>
      <c r="I18" s="38">
        <v>228</v>
      </c>
      <c r="J18" s="40">
        <v>12</v>
      </c>
      <c r="K18" s="35">
        <v>401</v>
      </c>
      <c r="L18" s="37">
        <v>429</v>
      </c>
      <c r="M18" s="35">
        <v>2.2549999999999999</v>
      </c>
      <c r="N18" s="37">
        <v>188</v>
      </c>
      <c r="O18" s="35">
        <v>314</v>
      </c>
      <c r="P18" s="35">
        <v>236</v>
      </c>
      <c r="Q18" s="38">
        <v>5</v>
      </c>
      <c r="R18" s="35">
        <v>440</v>
      </c>
      <c r="S18" s="35">
        <v>554</v>
      </c>
      <c r="T18" s="40">
        <v>85</v>
      </c>
    </row>
    <row r="19" spans="1:20" x14ac:dyDescent="0.35">
      <c r="A19" s="13" t="s">
        <v>20</v>
      </c>
      <c r="B19" s="13" t="str">
        <f>LEFT(Tabla4[[#This Row],[Periodo]],2)</f>
        <v>Q2</v>
      </c>
      <c r="C19" s="13" t="str">
        <f>RIGHT(Tabla4[[#This Row],[Periodo]],5)</f>
        <v xml:space="preserve"> 2009</v>
      </c>
      <c r="D19" s="37">
        <v>7.4950000000000001</v>
      </c>
      <c r="E19" s="38">
        <v>1.6339999999999999</v>
      </c>
      <c r="F19" s="35">
        <v>2.0739999999999998</v>
      </c>
      <c r="G19" s="38">
        <v>3.1230000000000002</v>
      </c>
      <c r="H19" s="35">
        <v>1.02</v>
      </c>
      <c r="I19" s="38">
        <v>252</v>
      </c>
      <c r="J19" s="40">
        <v>15</v>
      </c>
      <c r="K19" s="35">
        <v>427</v>
      </c>
      <c r="L19" s="37">
        <v>402</v>
      </c>
      <c r="M19" s="35">
        <v>2.484</v>
      </c>
      <c r="N19" s="37">
        <v>261</v>
      </c>
      <c r="O19" s="35">
        <v>336</v>
      </c>
      <c r="P19" s="35">
        <v>266</v>
      </c>
      <c r="Q19" s="38">
        <v>7</v>
      </c>
      <c r="R19" s="35">
        <v>439</v>
      </c>
      <c r="S19" s="35">
        <v>510</v>
      </c>
      <c r="T19" s="40">
        <v>84</v>
      </c>
    </row>
    <row r="20" spans="1:20" x14ac:dyDescent="0.35">
      <c r="A20" s="13" t="s">
        <v>21</v>
      </c>
      <c r="B20" s="13" t="str">
        <f>LEFT(Tabla4[[#This Row],[Periodo]],2)</f>
        <v>Q3</v>
      </c>
      <c r="C20" s="13" t="str">
        <f>RIGHT(Tabla4[[#This Row],[Periodo]],5)</f>
        <v xml:space="preserve"> 2009</v>
      </c>
      <c r="D20" s="37">
        <v>7.7610000000000001</v>
      </c>
      <c r="E20" s="38">
        <v>1.653</v>
      </c>
      <c r="F20" s="35">
        <v>2.0249999999999999</v>
      </c>
      <c r="G20" s="38">
        <v>3.145</v>
      </c>
      <c r="H20" s="35">
        <v>976</v>
      </c>
      <c r="I20" s="38">
        <v>247</v>
      </c>
      <c r="J20" s="40">
        <v>19</v>
      </c>
      <c r="K20" s="35">
        <v>461</v>
      </c>
      <c r="L20" s="37">
        <v>403</v>
      </c>
      <c r="M20" s="35">
        <v>2.5310000000000001</v>
      </c>
      <c r="N20" s="37">
        <v>280</v>
      </c>
      <c r="O20" s="35">
        <v>326</v>
      </c>
      <c r="P20" s="35">
        <v>259</v>
      </c>
      <c r="Q20" s="38">
        <v>7</v>
      </c>
      <c r="R20" s="35">
        <v>441</v>
      </c>
      <c r="S20" s="35">
        <v>642</v>
      </c>
      <c r="T20" s="40">
        <v>87</v>
      </c>
    </row>
    <row r="21" spans="1:20" x14ac:dyDescent="0.35">
      <c r="A21" s="13" t="s">
        <v>22</v>
      </c>
      <c r="B21" s="13" t="str">
        <f>LEFT(Tabla4[[#This Row],[Periodo]],2)</f>
        <v>Q4</v>
      </c>
      <c r="C21" s="13" t="str">
        <f>RIGHT(Tabla4[[#This Row],[Periodo]],5)</f>
        <v xml:space="preserve"> 2009</v>
      </c>
      <c r="D21" s="37">
        <v>8.7899999999999991</v>
      </c>
      <c r="E21" s="38">
        <v>1.8340000000000001</v>
      </c>
      <c r="F21" s="35">
        <v>2.0790000000000002</v>
      </c>
      <c r="G21" s="38">
        <v>3.47</v>
      </c>
      <c r="H21" s="35">
        <v>1.107</v>
      </c>
      <c r="I21" s="38">
        <v>275</v>
      </c>
      <c r="J21" s="40">
        <v>20</v>
      </c>
      <c r="K21" s="35">
        <v>495</v>
      </c>
      <c r="L21" s="37">
        <v>403</v>
      </c>
      <c r="M21" s="35">
        <v>2.641</v>
      </c>
      <c r="N21" s="37">
        <v>323</v>
      </c>
      <c r="O21" s="35">
        <v>347</v>
      </c>
      <c r="P21" s="35">
        <v>270</v>
      </c>
      <c r="Q21" s="38">
        <v>10</v>
      </c>
      <c r="R21" s="35">
        <v>115</v>
      </c>
      <c r="S21" s="35">
        <v>541</v>
      </c>
      <c r="T21" s="40">
        <v>93</v>
      </c>
    </row>
    <row r="22" spans="1:20" x14ac:dyDescent="0.35">
      <c r="A22" s="13" t="s">
        <v>23</v>
      </c>
      <c r="B22" s="13" t="str">
        <f>LEFT(Tabla4[[#This Row],[Periodo]],2)</f>
        <v>Q1</v>
      </c>
      <c r="C22" s="13" t="str">
        <f>RIGHT(Tabla4[[#This Row],[Periodo]],5)</f>
        <v xml:space="preserve"> 2010</v>
      </c>
      <c r="D22" s="37">
        <v>7.6980000000000004</v>
      </c>
      <c r="E22" s="38">
        <v>1.7989999999999999</v>
      </c>
      <c r="F22" s="35">
        <v>1.96</v>
      </c>
      <c r="G22" s="38">
        <v>2.927</v>
      </c>
      <c r="H22" s="35">
        <v>1.0629999999999999</v>
      </c>
      <c r="I22" s="38">
        <v>279</v>
      </c>
      <c r="J22" s="40">
        <v>21</v>
      </c>
      <c r="K22" s="35">
        <v>454</v>
      </c>
      <c r="L22" s="37">
        <v>412</v>
      </c>
      <c r="M22" s="35">
        <v>2.6269999999999998</v>
      </c>
      <c r="N22" s="37">
        <v>329</v>
      </c>
      <c r="O22" s="35">
        <v>341</v>
      </c>
      <c r="P22" s="35">
        <v>269</v>
      </c>
      <c r="Q22" s="38">
        <v>10</v>
      </c>
      <c r="R22" s="35">
        <v>367</v>
      </c>
      <c r="S22" s="35">
        <v>586</v>
      </c>
      <c r="T22" s="40">
        <v>99</v>
      </c>
    </row>
    <row r="23" spans="1:20" x14ac:dyDescent="0.35">
      <c r="A23" s="13" t="s">
        <v>24</v>
      </c>
      <c r="B23" s="13" t="str">
        <f>LEFT(Tabla4[[#This Row],[Periodo]],2)</f>
        <v>Q2</v>
      </c>
      <c r="C23" s="13" t="str">
        <f>RIGHT(Tabla4[[#This Row],[Periodo]],5)</f>
        <v xml:space="preserve"> 2010</v>
      </c>
      <c r="D23" s="37">
        <v>8.8260000000000005</v>
      </c>
      <c r="E23" s="38">
        <v>1.758</v>
      </c>
      <c r="F23" s="35">
        <v>1.9279999999999999</v>
      </c>
      <c r="G23" s="38">
        <v>3.194</v>
      </c>
      <c r="H23" s="35">
        <v>1.0580000000000001</v>
      </c>
      <c r="I23" s="38">
        <v>292</v>
      </c>
      <c r="J23" s="40">
        <v>23</v>
      </c>
      <c r="K23" s="35">
        <v>468</v>
      </c>
      <c r="L23" s="37">
        <v>418</v>
      </c>
      <c r="M23" s="35">
        <v>2.5960000000000001</v>
      </c>
      <c r="N23" s="37">
        <v>351</v>
      </c>
      <c r="O23" s="35">
        <v>365</v>
      </c>
      <c r="P23" s="35">
        <v>281</v>
      </c>
      <c r="Q23" s="38">
        <v>12</v>
      </c>
      <c r="R23" s="35">
        <v>358</v>
      </c>
      <c r="S23" s="35">
        <v>578</v>
      </c>
      <c r="T23" s="40">
        <v>100</v>
      </c>
    </row>
    <row r="24" spans="1:20" x14ac:dyDescent="0.35">
      <c r="A24" s="13" t="s">
        <v>25</v>
      </c>
      <c r="B24" s="13" t="str">
        <f>LEFT(Tabla4[[#This Row],[Periodo]],2)</f>
        <v>Q3</v>
      </c>
      <c r="C24" s="13" t="str">
        <f>RIGHT(Tabla4[[#This Row],[Periodo]],5)</f>
        <v xml:space="preserve"> 2010</v>
      </c>
      <c r="D24" s="37">
        <v>8.6750000000000007</v>
      </c>
      <c r="E24" s="38">
        <v>1.768</v>
      </c>
      <c r="F24" s="35">
        <v>1.9159999999999999</v>
      </c>
      <c r="G24" s="38">
        <v>3.2240000000000002</v>
      </c>
      <c r="H24" s="35">
        <v>965</v>
      </c>
      <c r="I24" s="38">
        <v>282</v>
      </c>
      <c r="J24" s="40">
        <v>25</v>
      </c>
      <c r="K24" s="35">
        <v>472</v>
      </c>
      <c r="L24" s="37">
        <v>421</v>
      </c>
      <c r="M24" s="35">
        <v>2.629</v>
      </c>
      <c r="N24" s="37">
        <v>344</v>
      </c>
      <c r="O24" s="35">
        <v>349</v>
      </c>
      <c r="P24" s="35">
        <v>270</v>
      </c>
      <c r="Q24" s="38">
        <v>12</v>
      </c>
      <c r="R24" s="35">
        <v>345</v>
      </c>
      <c r="S24" s="35">
        <v>652</v>
      </c>
      <c r="T24" s="40">
        <v>101</v>
      </c>
    </row>
    <row r="25" spans="1:20" x14ac:dyDescent="0.35">
      <c r="A25" s="13" t="s">
        <v>26</v>
      </c>
      <c r="B25" s="13" t="str">
        <f>LEFT(Tabla4[[#This Row],[Periodo]],2)</f>
        <v>Q4</v>
      </c>
      <c r="C25" s="13" t="str">
        <f>RIGHT(Tabla4[[#This Row],[Periodo]],5)</f>
        <v xml:space="preserve"> 2010</v>
      </c>
      <c r="D25" s="37">
        <v>9.968</v>
      </c>
      <c r="E25" s="38">
        <v>1.9950000000000001</v>
      </c>
      <c r="F25" s="35">
        <v>2.0019999999999998</v>
      </c>
      <c r="G25" s="38">
        <v>3.4980000000000002</v>
      </c>
      <c r="H25" s="35">
        <v>1.135</v>
      </c>
      <c r="I25" s="38">
        <v>306</v>
      </c>
      <c r="J25" s="40">
        <v>28</v>
      </c>
      <c r="K25" s="35">
        <v>534</v>
      </c>
      <c r="L25" s="37">
        <v>428</v>
      </c>
      <c r="M25" s="35">
        <v>2.5419999999999998</v>
      </c>
      <c r="N25" s="37">
        <v>389</v>
      </c>
      <c r="O25" s="35">
        <v>392</v>
      </c>
      <c r="P25" s="35">
        <v>284</v>
      </c>
      <c r="Q25" s="38">
        <v>16</v>
      </c>
      <c r="R25" s="35">
        <v>327</v>
      </c>
      <c r="S25" s="35">
        <v>580</v>
      </c>
      <c r="T25" s="40">
        <v>106</v>
      </c>
    </row>
    <row r="26" spans="1:20" x14ac:dyDescent="0.35">
      <c r="A26" s="13" t="s">
        <v>27</v>
      </c>
      <c r="B26" s="13" t="str">
        <f>LEFT(Tabla4[[#This Row],[Periodo]],2)</f>
        <v>Q1</v>
      </c>
      <c r="C26" s="13" t="str">
        <f>RIGHT(Tabla4[[#This Row],[Periodo]],5)</f>
        <v xml:space="preserve"> 2011</v>
      </c>
      <c r="D26" s="37">
        <v>9.0410000000000004</v>
      </c>
      <c r="E26" s="38">
        <v>2.0150000000000001</v>
      </c>
      <c r="F26" s="35">
        <v>1.925</v>
      </c>
      <c r="G26" s="38">
        <v>3.2839999999999998</v>
      </c>
      <c r="H26" s="35">
        <v>1.1160000000000001</v>
      </c>
      <c r="I26" s="38">
        <v>313</v>
      </c>
      <c r="J26" s="40">
        <v>28</v>
      </c>
      <c r="K26" s="35">
        <v>485</v>
      </c>
      <c r="L26" s="37">
        <v>433</v>
      </c>
      <c r="M26" s="35">
        <v>2.7210000000000001</v>
      </c>
      <c r="N26" s="37">
        <v>388</v>
      </c>
      <c r="O26" s="35">
        <v>405</v>
      </c>
      <c r="P26" s="35">
        <v>293</v>
      </c>
      <c r="Q26" s="38">
        <v>14</v>
      </c>
      <c r="R26" s="35">
        <v>354</v>
      </c>
      <c r="S26" s="35">
        <v>648</v>
      </c>
      <c r="T26" s="40">
        <v>113</v>
      </c>
    </row>
    <row r="27" spans="1:20" x14ac:dyDescent="0.35">
      <c r="A27" s="13" t="s">
        <v>28</v>
      </c>
      <c r="B27" s="13" t="str">
        <f>LEFT(Tabla4[[#This Row],[Periodo]],2)</f>
        <v>Q2</v>
      </c>
      <c r="C27" s="13" t="str">
        <f>RIGHT(Tabla4[[#This Row],[Periodo]],5)</f>
        <v xml:space="preserve"> 2011</v>
      </c>
      <c r="D27" s="37">
        <v>9.6159999999999997</v>
      </c>
      <c r="E27" s="38">
        <v>2.0459999999999998</v>
      </c>
      <c r="F27" s="35">
        <v>1.9750000000000001</v>
      </c>
      <c r="G27" s="38">
        <v>3.536</v>
      </c>
      <c r="H27" s="35">
        <v>1.137</v>
      </c>
      <c r="I27" s="38">
        <v>342</v>
      </c>
      <c r="J27" s="40">
        <v>32</v>
      </c>
      <c r="K27" s="35">
        <v>522</v>
      </c>
      <c r="L27" s="37">
        <v>439</v>
      </c>
      <c r="M27" s="35">
        <v>2.8540000000000001</v>
      </c>
      <c r="N27" s="37">
        <v>426</v>
      </c>
      <c r="O27" s="35">
        <v>431</v>
      </c>
      <c r="P27" s="35">
        <v>318</v>
      </c>
      <c r="Q27" s="38">
        <v>21</v>
      </c>
      <c r="R27" s="35">
        <v>381</v>
      </c>
      <c r="S27" s="35">
        <v>649</v>
      </c>
      <c r="T27" s="40">
        <v>110</v>
      </c>
    </row>
    <row r="28" spans="1:20" x14ac:dyDescent="0.35">
      <c r="A28" s="13" t="s">
        <v>29</v>
      </c>
      <c r="B28" s="13" t="str">
        <f>LEFT(Tabla4[[#This Row],[Periodo]],2)</f>
        <v>Q3</v>
      </c>
      <c r="C28" s="13" t="str">
        <f>RIGHT(Tabla4[[#This Row],[Periodo]],5)</f>
        <v xml:space="preserve"> 2011</v>
      </c>
      <c r="D28" s="37">
        <v>9.8170000000000002</v>
      </c>
      <c r="E28" s="38">
        <v>2.0310000000000001</v>
      </c>
      <c r="F28" s="35">
        <v>1.8740000000000001</v>
      </c>
      <c r="G28" s="38">
        <v>3.4790000000000001</v>
      </c>
      <c r="H28" s="35">
        <v>1.032</v>
      </c>
      <c r="I28" s="38">
        <v>315</v>
      </c>
      <c r="J28" s="40">
        <v>45</v>
      </c>
      <c r="K28" s="35">
        <v>517</v>
      </c>
      <c r="L28" s="37">
        <v>451</v>
      </c>
      <c r="M28" s="35">
        <v>2.9329999999999998</v>
      </c>
      <c r="N28" s="37">
        <v>447</v>
      </c>
      <c r="O28" s="35">
        <v>413</v>
      </c>
      <c r="P28" s="35">
        <v>301</v>
      </c>
      <c r="Q28" s="38">
        <v>18</v>
      </c>
      <c r="R28" s="35">
        <v>363</v>
      </c>
      <c r="S28" s="35">
        <v>719</v>
      </c>
      <c r="T28" s="40">
        <v>104</v>
      </c>
    </row>
    <row r="29" spans="1:20" x14ac:dyDescent="0.35">
      <c r="A29" s="13" t="s">
        <v>30</v>
      </c>
      <c r="B29" s="13" t="str">
        <f>LEFT(Tabla4[[#This Row],[Periodo]],2)</f>
        <v>Q4</v>
      </c>
      <c r="C29" s="13" t="str">
        <f>RIGHT(Tabla4[[#This Row],[Periodo]],5)</f>
        <v xml:space="preserve"> 2011</v>
      </c>
      <c r="D29" s="37">
        <v>10.377000000000001</v>
      </c>
      <c r="E29" s="38">
        <v>2.2149999999999999</v>
      </c>
      <c r="F29" s="35">
        <v>1.8480000000000001</v>
      </c>
      <c r="G29" s="38">
        <v>3.5939999999999999</v>
      </c>
      <c r="H29" s="35">
        <v>1.167</v>
      </c>
      <c r="I29" s="38">
        <v>333</v>
      </c>
      <c r="J29" s="40">
        <v>47</v>
      </c>
      <c r="K29" s="35">
        <v>550</v>
      </c>
      <c r="L29" s="37">
        <v>467</v>
      </c>
      <c r="M29" s="35">
        <v>3.0510000000000002</v>
      </c>
      <c r="N29" s="37">
        <v>497</v>
      </c>
      <c r="O29" s="35">
        <v>430</v>
      </c>
      <c r="P29" s="35">
        <v>307</v>
      </c>
      <c r="Q29" s="38">
        <v>22</v>
      </c>
      <c r="R29" s="35">
        <v>395</v>
      </c>
      <c r="S29" s="35">
        <v>625</v>
      </c>
      <c r="T29" s="40">
        <v>112</v>
      </c>
    </row>
    <row r="30" spans="1:20" x14ac:dyDescent="0.35">
      <c r="A30" s="13" t="s">
        <v>31</v>
      </c>
      <c r="B30" s="13" t="str">
        <f>LEFT(Tabla4[[#This Row],[Periodo]],2)</f>
        <v>Q1</v>
      </c>
      <c r="C30" s="13" t="str">
        <f>RIGHT(Tabla4[[#This Row],[Periodo]],5)</f>
        <v xml:space="preserve"> 2012</v>
      </c>
      <c r="D30" s="37">
        <v>5.2839999999999998</v>
      </c>
      <c r="E30" s="38">
        <v>2.161</v>
      </c>
      <c r="F30" s="35">
        <v>1.8660000000000001</v>
      </c>
      <c r="G30" s="38">
        <v>3.3879999999999999</v>
      </c>
      <c r="H30" s="35">
        <v>1.141</v>
      </c>
      <c r="I30" s="38">
        <v>349</v>
      </c>
      <c r="J30" s="40">
        <v>48</v>
      </c>
      <c r="K30" s="35">
        <v>486</v>
      </c>
      <c r="L30" s="37">
        <v>473</v>
      </c>
      <c r="M30" s="35">
        <v>3.0569999999999999</v>
      </c>
      <c r="N30" s="37">
        <v>495</v>
      </c>
      <c r="O30" s="35">
        <v>459</v>
      </c>
      <c r="P30" s="35">
        <v>323</v>
      </c>
      <c r="Q30" s="38">
        <v>20</v>
      </c>
      <c r="R30" s="35">
        <v>381</v>
      </c>
      <c r="S30" s="35">
        <v>720</v>
      </c>
      <c r="T30" s="40">
        <v>119</v>
      </c>
    </row>
    <row r="31" spans="1:20" x14ac:dyDescent="0.35">
      <c r="A31" s="13" t="s">
        <v>32</v>
      </c>
      <c r="B31" s="13" t="str">
        <f>LEFT(Tabla4[[#This Row],[Periodo]],2)</f>
        <v>Q2</v>
      </c>
      <c r="C31" s="13" t="str">
        <f>RIGHT(Tabla4[[#This Row],[Periodo]],5)</f>
        <v xml:space="preserve"> 2012</v>
      </c>
      <c r="D31" s="37">
        <v>5.3129999999999997</v>
      </c>
      <c r="E31" s="38">
        <v>2.1059999999999999</v>
      </c>
      <c r="F31" s="35">
        <v>1.8280000000000001</v>
      </c>
      <c r="G31" s="38">
        <v>3.5720000000000001</v>
      </c>
      <c r="H31" s="35">
        <v>1.125</v>
      </c>
      <c r="I31" s="38">
        <v>372</v>
      </c>
      <c r="J31" s="40">
        <v>51</v>
      </c>
      <c r="K31" s="35">
        <v>510</v>
      </c>
      <c r="L31" s="37">
        <v>471</v>
      </c>
      <c r="M31" s="35">
        <v>3.1080000000000001</v>
      </c>
      <c r="N31" s="37">
        <v>537</v>
      </c>
      <c r="O31" s="35">
        <v>482</v>
      </c>
      <c r="P31" s="35">
        <v>336</v>
      </c>
      <c r="Q31" s="38">
        <v>23</v>
      </c>
      <c r="R31" s="35">
        <v>383</v>
      </c>
      <c r="S31" s="35">
        <v>705</v>
      </c>
      <c r="T31" s="40">
        <v>123</v>
      </c>
    </row>
    <row r="32" spans="1:20" x14ac:dyDescent="0.35">
      <c r="A32" s="13" t="s">
        <v>33</v>
      </c>
      <c r="B32" s="13" t="str">
        <f>LEFT(Tabla4[[#This Row],[Periodo]],2)</f>
        <v>Q3</v>
      </c>
      <c r="C32" s="13" t="str">
        <f>RIGHT(Tabla4[[#This Row],[Periodo]],5)</f>
        <v xml:space="preserve"> 2012</v>
      </c>
      <c r="D32" s="37">
        <v>5.2649999999999997</v>
      </c>
      <c r="E32" s="38">
        <v>2.052</v>
      </c>
      <c r="F32" s="35">
        <v>1.7350000000000001</v>
      </c>
      <c r="G32" s="38">
        <v>3.4769999999999999</v>
      </c>
      <c r="H32" s="35">
        <v>1.026</v>
      </c>
      <c r="I32" s="38">
        <v>340</v>
      </c>
      <c r="J32" s="40">
        <v>55</v>
      </c>
      <c r="K32" s="35">
        <v>499</v>
      </c>
      <c r="L32" s="37">
        <v>470</v>
      </c>
      <c r="M32" s="35">
        <v>3.0859999999999999</v>
      </c>
      <c r="N32" s="37">
        <v>538</v>
      </c>
      <c r="O32" s="35">
        <v>448</v>
      </c>
      <c r="P32" s="35">
        <v>315</v>
      </c>
      <c r="Q32" s="38">
        <v>23</v>
      </c>
      <c r="R32" s="35">
        <v>368</v>
      </c>
      <c r="S32" s="35">
        <v>756</v>
      </c>
      <c r="T32" s="40">
        <v>119</v>
      </c>
    </row>
    <row r="33" spans="1:20" x14ac:dyDescent="0.35">
      <c r="A33" s="13" t="s">
        <v>34</v>
      </c>
      <c r="B33" s="13" t="str">
        <f>LEFT(Tabla4[[#This Row],[Periodo]],2)</f>
        <v>Q4</v>
      </c>
      <c r="C33" s="13" t="str">
        <f>RIGHT(Tabla4[[#This Row],[Periodo]],5)</f>
        <v xml:space="preserve"> 2012</v>
      </c>
      <c r="D33" s="37">
        <v>3.1880000000000002</v>
      </c>
      <c r="E33" s="38">
        <v>2.3380000000000001</v>
      </c>
      <c r="F33" s="35">
        <v>1.82</v>
      </c>
      <c r="G33" s="38">
        <v>3.4990000000000001</v>
      </c>
      <c r="H33" s="35">
        <v>1.181</v>
      </c>
      <c r="I33" s="38">
        <v>377</v>
      </c>
      <c r="J33" s="40">
        <v>58</v>
      </c>
      <c r="K33" s="35">
        <v>574</v>
      </c>
      <c r="L33" s="37">
        <v>588</v>
      </c>
      <c r="M33" s="35">
        <v>3.2589999999999999</v>
      </c>
      <c r="N33" s="37">
        <v>609</v>
      </c>
      <c r="O33" s="35">
        <v>511</v>
      </c>
      <c r="P33" s="35">
        <v>320</v>
      </c>
      <c r="Q33" s="38">
        <v>33</v>
      </c>
      <c r="R33" s="35">
        <v>419</v>
      </c>
      <c r="S33" s="35">
        <v>678</v>
      </c>
      <c r="T33" s="40">
        <v>132</v>
      </c>
    </row>
    <row r="34" spans="1:20" x14ac:dyDescent="0.35">
      <c r="A34" s="13" t="s">
        <v>35</v>
      </c>
      <c r="B34" s="13" t="str">
        <f>LEFT(Tabla4[[#This Row],[Periodo]],2)</f>
        <v>Q1</v>
      </c>
      <c r="C34" s="13" t="str">
        <f>RIGHT(Tabla4[[#This Row],[Periodo]],5)</f>
        <v xml:space="preserve"> 2013</v>
      </c>
      <c r="D34" s="37">
        <v>5.3780000000000001</v>
      </c>
      <c r="E34" s="38">
        <v>2.19</v>
      </c>
      <c r="F34" s="35">
        <v>1.7609999999999999</v>
      </c>
      <c r="G34" s="38">
        <v>3.448</v>
      </c>
      <c r="H34" s="35">
        <v>1.139</v>
      </c>
      <c r="I34" s="38">
        <v>384</v>
      </c>
      <c r="J34" s="40">
        <v>57</v>
      </c>
      <c r="K34" s="35">
        <v>500</v>
      </c>
      <c r="L34" s="37">
        <v>631</v>
      </c>
      <c r="M34" s="35">
        <v>3.1920000000000002</v>
      </c>
      <c r="N34" s="37">
        <v>611</v>
      </c>
      <c r="O34" s="35">
        <v>497</v>
      </c>
      <c r="P34" s="35">
        <v>332</v>
      </c>
      <c r="Q34" s="38">
        <v>30</v>
      </c>
      <c r="R34" s="35">
        <v>412</v>
      </c>
      <c r="S34" s="35">
        <v>768</v>
      </c>
      <c r="T34" s="40">
        <v>136</v>
      </c>
    </row>
    <row r="35" spans="1:20" x14ac:dyDescent="0.35">
      <c r="A35" s="13" t="s">
        <v>36</v>
      </c>
      <c r="B35" s="13" t="str">
        <f>LEFT(Tabla4[[#This Row],[Periodo]],2)</f>
        <v>Q2</v>
      </c>
      <c r="C35" s="13" t="str">
        <f>RIGHT(Tabla4[[#This Row],[Periodo]],5)</f>
        <v xml:space="preserve"> 2013</v>
      </c>
      <c r="D35" s="37">
        <v>5.4459999999999997</v>
      </c>
      <c r="E35" s="38">
        <v>2.2120000000000002</v>
      </c>
      <c r="F35" s="35">
        <v>1.8089999999999999</v>
      </c>
      <c r="G35" s="38">
        <v>3.669</v>
      </c>
      <c r="H35" s="35">
        <v>1.17</v>
      </c>
      <c r="I35" s="38">
        <v>415</v>
      </c>
      <c r="J35" s="40">
        <v>60</v>
      </c>
      <c r="K35" s="35">
        <v>525</v>
      </c>
      <c r="L35" s="37">
        <v>613</v>
      </c>
      <c r="M35" s="35">
        <v>3.24</v>
      </c>
      <c r="N35" s="37">
        <v>579</v>
      </c>
      <c r="O35" s="35">
        <v>517</v>
      </c>
      <c r="P35" s="35">
        <v>353</v>
      </c>
      <c r="Q35" s="38">
        <v>36</v>
      </c>
      <c r="R35" s="35">
        <v>420</v>
      </c>
      <c r="S35" s="35">
        <v>726</v>
      </c>
      <c r="T35" s="40">
        <v>137</v>
      </c>
    </row>
    <row r="36" spans="1:20" x14ac:dyDescent="0.35">
      <c r="A36" s="13" t="s">
        <v>37</v>
      </c>
      <c r="B36" s="13" t="str">
        <f>LEFT(Tabla4[[#This Row],[Periodo]],2)</f>
        <v>Q3</v>
      </c>
      <c r="C36" s="13" t="str">
        <f>RIGHT(Tabla4[[#This Row],[Periodo]],5)</f>
        <v xml:space="preserve"> 2013</v>
      </c>
      <c r="D36" s="37">
        <v>4.8250000000000002</v>
      </c>
      <c r="E36" s="38">
        <v>2.1509999999999998</v>
      </c>
      <c r="F36" s="35">
        <v>1.7350000000000001</v>
      </c>
      <c r="G36" s="38">
        <v>3.71</v>
      </c>
      <c r="H36" s="35">
        <v>1.0740000000000001</v>
      </c>
      <c r="I36" s="38">
        <v>358</v>
      </c>
      <c r="J36" s="40">
        <v>61</v>
      </c>
      <c r="K36" s="35">
        <v>505</v>
      </c>
      <c r="L36" s="37">
        <v>626</v>
      </c>
      <c r="M36" s="35">
        <v>3.1920000000000002</v>
      </c>
      <c r="N36" s="37">
        <v>499</v>
      </c>
      <c r="O36" s="35">
        <v>496</v>
      </c>
      <c r="P36" s="35">
        <v>338</v>
      </c>
      <c r="Q36" s="38">
        <v>43</v>
      </c>
      <c r="R36" s="35">
        <v>414</v>
      </c>
      <c r="S36" s="35">
        <v>770</v>
      </c>
      <c r="T36" s="40">
        <v>131</v>
      </c>
    </row>
    <row r="37" spans="1:20" x14ac:dyDescent="0.35">
      <c r="A37" s="13" t="s">
        <v>38</v>
      </c>
      <c r="B37" s="13" t="str">
        <f>LEFT(Tabla4[[#This Row],[Periodo]],2)</f>
        <v>Q4</v>
      </c>
      <c r="C37" s="13" t="str">
        <f>RIGHT(Tabla4[[#This Row],[Periodo]],5)</f>
        <v xml:space="preserve"> 2013</v>
      </c>
      <c r="D37" s="37">
        <v>4.008</v>
      </c>
      <c r="E37" s="38">
        <v>2.468</v>
      </c>
      <c r="F37" s="35">
        <v>1.8380000000000001</v>
      </c>
      <c r="G37" s="38">
        <v>4.3220000000000001</v>
      </c>
      <c r="H37" s="35">
        <v>1.2410000000000001</v>
      </c>
      <c r="I37" s="38">
        <v>384</v>
      </c>
      <c r="J37" s="40">
        <v>69</v>
      </c>
      <c r="K37" s="35">
        <v>603</v>
      </c>
      <c r="L37" s="37">
        <v>622</v>
      </c>
      <c r="M37" s="35">
        <v>3.4670000000000001</v>
      </c>
      <c r="N37" s="37">
        <v>576</v>
      </c>
      <c r="O37" s="35">
        <v>536</v>
      </c>
      <c r="P37" s="35">
        <v>354</v>
      </c>
      <c r="Q37" s="38">
        <v>52</v>
      </c>
      <c r="R37" s="35">
        <v>451</v>
      </c>
      <c r="S37" s="35">
        <v>712</v>
      </c>
      <c r="T37" s="40">
        <v>142</v>
      </c>
    </row>
    <row r="38" spans="1:20" x14ac:dyDescent="0.35">
      <c r="A38" s="13" t="s">
        <v>39</v>
      </c>
      <c r="B38" s="13" t="str">
        <f>LEFT(Tabla4[[#This Row],[Periodo]],2)</f>
        <v>Q1</v>
      </c>
      <c r="C38" s="13" t="str">
        <f>RIGHT(Tabla4[[#This Row],[Periodo]],5)</f>
        <v xml:space="preserve"> 2014</v>
      </c>
      <c r="D38" s="37">
        <v>4.7549999999999999</v>
      </c>
      <c r="E38" s="38">
        <v>2.3050000000000002</v>
      </c>
      <c r="F38" s="35">
        <v>1.774</v>
      </c>
      <c r="G38" s="38">
        <v>3.8479999999999999</v>
      </c>
      <c r="H38" s="35">
        <v>1.1619999999999999</v>
      </c>
      <c r="I38" s="38">
        <v>398</v>
      </c>
      <c r="J38" s="40">
        <v>69</v>
      </c>
      <c r="K38" s="35">
        <v>509</v>
      </c>
      <c r="L38" s="37">
        <v>613</v>
      </c>
      <c r="M38" s="35">
        <v>3.9039999999999999</v>
      </c>
      <c r="N38" s="37">
        <v>465</v>
      </c>
      <c r="O38" s="35">
        <v>522</v>
      </c>
      <c r="P38" s="35">
        <v>360</v>
      </c>
      <c r="Q38" s="38">
        <v>47</v>
      </c>
      <c r="R38" s="35">
        <v>439</v>
      </c>
      <c r="S38" s="35">
        <v>779</v>
      </c>
      <c r="T38" s="40">
        <v>140</v>
      </c>
    </row>
    <row r="39" spans="1:20" x14ac:dyDescent="0.35">
      <c r="A39" s="13" t="s">
        <v>40</v>
      </c>
      <c r="B39" s="13" t="str">
        <f>LEFT(Tabla4[[#This Row],[Periodo]],2)</f>
        <v>Q2</v>
      </c>
      <c r="C39" s="13" t="str">
        <f>RIGHT(Tabla4[[#This Row],[Periodo]],5)</f>
        <v xml:space="preserve"> 2014</v>
      </c>
      <c r="D39" s="37">
        <v>5.0570000000000004</v>
      </c>
      <c r="E39" s="38">
        <v>2.363</v>
      </c>
      <c r="F39" s="35">
        <v>1.873</v>
      </c>
      <c r="G39" s="38">
        <v>4.1539999999999999</v>
      </c>
      <c r="H39" s="35">
        <v>1.1830000000000001</v>
      </c>
      <c r="I39" s="38">
        <v>415</v>
      </c>
      <c r="J39" s="40">
        <v>72</v>
      </c>
      <c r="K39" s="35">
        <v>537</v>
      </c>
      <c r="L39" s="37">
        <v>625</v>
      </c>
      <c r="M39" s="35">
        <v>4.3220000000000001</v>
      </c>
      <c r="N39" s="37">
        <v>512</v>
      </c>
      <c r="O39" s="35">
        <v>575</v>
      </c>
      <c r="P39" s="35">
        <v>390</v>
      </c>
      <c r="Q39" s="38">
        <v>59</v>
      </c>
      <c r="R39" s="35">
        <v>468</v>
      </c>
      <c r="S39" s="35">
        <v>748</v>
      </c>
      <c r="T39" s="40">
        <v>141</v>
      </c>
    </row>
    <row r="40" spans="1:20" x14ac:dyDescent="0.35">
      <c r="A40" s="13" t="s">
        <v>41</v>
      </c>
      <c r="B40" s="13" t="str">
        <f>LEFT(Tabla4[[#This Row],[Periodo]],2)</f>
        <v>Q3</v>
      </c>
      <c r="C40" s="13" t="str">
        <f>RIGHT(Tabla4[[#This Row],[Periodo]],5)</f>
        <v xml:space="preserve"> 2014</v>
      </c>
      <c r="D40" s="37">
        <v>5.0789999999999997</v>
      </c>
      <c r="E40" s="38">
        <v>2.3889999999999998</v>
      </c>
      <c r="F40" s="35">
        <v>1.8460000000000001</v>
      </c>
      <c r="G40" s="38">
        <v>2.7090000000000001</v>
      </c>
      <c r="H40" s="35">
        <v>1.1060000000000001</v>
      </c>
      <c r="I40" s="38">
        <v>380</v>
      </c>
      <c r="J40" s="40">
        <v>75</v>
      </c>
      <c r="K40" s="35">
        <v>531</v>
      </c>
      <c r="L40" s="37">
        <v>633</v>
      </c>
      <c r="M40" s="35">
        <v>4.1710000000000003</v>
      </c>
      <c r="N40" s="37">
        <v>550</v>
      </c>
      <c r="O40" s="35">
        <v>607</v>
      </c>
      <c r="P40" s="35">
        <v>384</v>
      </c>
      <c r="Q40" s="38">
        <v>69</v>
      </c>
      <c r="R40" s="35">
        <v>457</v>
      </c>
      <c r="S40" s="35">
        <v>812</v>
      </c>
      <c r="T40" s="40">
        <v>144</v>
      </c>
    </row>
    <row r="41" spans="1:20" x14ac:dyDescent="0.35">
      <c r="A41" s="13" t="s">
        <v>42</v>
      </c>
      <c r="B41" s="13" t="str">
        <f>LEFT(Tabla4[[#This Row],[Periodo]],2)</f>
        <v>Q4</v>
      </c>
      <c r="C41" s="13" t="str">
        <f>RIGHT(Tabla4[[#This Row],[Periodo]],5)</f>
        <v xml:space="preserve"> 2014</v>
      </c>
      <c r="D41" s="37">
        <v>5.3559999999999999</v>
      </c>
      <c r="E41" s="38">
        <v>2.6179999999999999</v>
      </c>
      <c r="F41" s="35">
        <v>1.887</v>
      </c>
      <c r="G41" s="38">
        <v>2.7890000000000001</v>
      </c>
      <c r="H41" s="35">
        <v>1.2230000000000001</v>
      </c>
      <c r="I41" s="38">
        <v>423</v>
      </c>
      <c r="J41" s="40">
        <v>15</v>
      </c>
      <c r="K41" s="35">
        <v>598</v>
      </c>
      <c r="L41" s="37">
        <v>661</v>
      </c>
      <c r="M41" s="35">
        <v>4.4930000000000003</v>
      </c>
      <c r="N41" s="37">
        <v>605</v>
      </c>
      <c r="O41" s="35">
        <v>618</v>
      </c>
      <c r="P41" s="35">
        <v>352</v>
      </c>
      <c r="Q41" s="38">
        <v>84</v>
      </c>
      <c r="R41" s="35">
        <v>476</v>
      </c>
      <c r="S41" s="35">
        <v>738</v>
      </c>
      <c r="T41" s="40">
        <v>162</v>
      </c>
    </row>
    <row r="42" spans="1:20" x14ac:dyDescent="0.35">
      <c r="A42" s="13" t="s">
        <v>43</v>
      </c>
      <c r="B42" s="13" t="str">
        <f>LEFT(Tabla4[[#This Row],[Periodo]],2)</f>
        <v>Q1</v>
      </c>
      <c r="C42" s="13" t="str">
        <f>RIGHT(Tabla4[[#This Row],[Periodo]],5)</f>
        <v xml:space="preserve"> 2015</v>
      </c>
      <c r="D42" s="37">
        <v>4.8970000000000002</v>
      </c>
      <c r="E42" s="38">
        <v>2.379</v>
      </c>
      <c r="F42" s="35">
        <v>1.768</v>
      </c>
      <c r="G42" s="38">
        <v>2.403</v>
      </c>
      <c r="H42" s="35">
        <v>1.1339999999999999</v>
      </c>
      <c r="I42" s="38">
        <v>422</v>
      </c>
      <c r="J42" s="40">
        <v>48</v>
      </c>
      <c r="K42" s="35">
        <v>473</v>
      </c>
      <c r="L42" s="37">
        <v>653</v>
      </c>
      <c r="M42" s="35">
        <v>3.919</v>
      </c>
      <c r="N42" s="37">
        <v>532</v>
      </c>
      <c r="O42" s="35">
        <v>590</v>
      </c>
      <c r="P42" s="35">
        <v>382</v>
      </c>
      <c r="Q42" s="38">
        <v>73</v>
      </c>
      <c r="R42" s="35">
        <v>429</v>
      </c>
      <c r="S42" s="35">
        <v>759</v>
      </c>
      <c r="T42" s="40">
        <v>155</v>
      </c>
    </row>
    <row r="43" spans="1:20" x14ac:dyDescent="0.35">
      <c r="A43" s="13" t="s">
        <v>44</v>
      </c>
      <c r="B43" s="13" t="str">
        <f>LEFT(Tabla4[[#This Row],[Periodo]],2)</f>
        <v>Q2</v>
      </c>
      <c r="C43" s="13" t="str">
        <f>RIGHT(Tabla4[[#This Row],[Periodo]],5)</f>
        <v xml:space="preserve"> 2015</v>
      </c>
      <c r="D43" s="37">
        <v>5.17</v>
      </c>
      <c r="E43" s="38">
        <v>2.4319999999999999</v>
      </c>
      <c r="F43" s="35">
        <v>1.843</v>
      </c>
      <c r="G43" s="38">
        <v>2.4750000000000001</v>
      </c>
      <c r="H43" s="35">
        <v>1.1679999999999999</v>
      </c>
      <c r="I43" s="38">
        <v>453</v>
      </c>
      <c r="J43" s="40">
        <v>61</v>
      </c>
      <c r="K43" s="35">
        <v>506</v>
      </c>
      <c r="L43" s="37">
        <v>656</v>
      </c>
      <c r="M43" s="35">
        <v>4.2709999999999999</v>
      </c>
      <c r="N43" s="37">
        <v>586</v>
      </c>
      <c r="O43" s="35">
        <v>617</v>
      </c>
      <c r="P43" s="35">
        <v>413</v>
      </c>
      <c r="Q43" s="38">
        <v>93</v>
      </c>
      <c r="R43" s="35">
        <v>452</v>
      </c>
      <c r="S43" s="35">
        <v>784</v>
      </c>
      <c r="T43" s="40">
        <v>156</v>
      </c>
    </row>
    <row r="44" spans="1:20" x14ac:dyDescent="0.35">
      <c r="A44" s="13" t="s">
        <v>45</v>
      </c>
      <c r="B44" s="13" t="str">
        <f>LEFT(Tabla4[[#This Row],[Periodo]],2)</f>
        <v>Q3</v>
      </c>
      <c r="C44" s="13" t="str">
        <f>RIGHT(Tabla4[[#This Row],[Periodo]],5)</f>
        <v xml:space="preserve"> 2015</v>
      </c>
      <c r="D44" s="37">
        <v>5.15</v>
      </c>
      <c r="E44" s="38">
        <v>2.42</v>
      </c>
      <c r="F44" s="35">
        <v>1.8879999999999999</v>
      </c>
      <c r="G44" s="38">
        <v>2.4870000000000001</v>
      </c>
      <c r="H44" s="35">
        <v>1.762</v>
      </c>
      <c r="I44" s="38">
        <v>412</v>
      </c>
      <c r="J44" s="40">
        <v>71</v>
      </c>
      <c r="K44" s="35">
        <v>470</v>
      </c>
      <c r="L44" s="37">
        <v>694</v>
      </c>
      <c r="M44" s="35">
        <v>4.1230000000000002</v>
      </c>
      <c r="N44" s="37">
        <v>590</v>
      </c>
      <c r="O44" s="35">
        <v>616</v>
      </c>
      <c r="P44" s="35">
        <v>406</v>
      </c>
      <c r="Q44" s="38">
        <v>105</v>
      </c>
      <c r="R44" s="35">
        <v>444</v>
      </c>
      <c r="S44" s="35">
        <v>209</v>
      </c>
      <c r="T44" s="40">
        <v>153</v>
      </c>
    </row>
    <row r="45" spans="1:20" x14ac:dyDescent="0.35">
      <c r="A45" s="13" t="s">
        <v>46</v>
      </c>
      <c r="B45" s="13" t="str">
        <f>LEFT(Tabla4[[#This Row],[Periodo]],2)</f>
        <v>Q4</v>
      </c>
      <c r="C45" s="13" t="str">
        <f>RIGHT(Tabla4[[#This Row],[Periodo]],5)</f>
        <v xml:space="preserve"> 2015</v>
      </c>
      <c r="D45" s="37">
        <v>5.1879999999999997</v>
      </c>
      <c r="E45" s="38">
        <v>2.7149999999999999</v>
      </c>
      <c r="F45" s="35">
        <v>1.978</v>
      </c>
      <c r="G45" s="38">
        <v>2.6030000000000002</v>
      </c>
      <c r="H45" s="35">
        <v>1.9339999999999999</v>
      </c>
      <c r="I45" s="38">
        <v>455</v>
      </c>
      <c r="J45" s="40">
        <v>84</v>
      </c>
      <c r="K45" s="35">
        <v>571</v>
      </c>
      <c r="L45" s="37">
        <v>703</v>
      </c>
      <c r="M45" s="35">
        <v>4.6520000000000001</v>
      </c>
      <c r="N45" s="37">
        <v>677</v>
      </c>
      <c r="O45" s="35">
        <v>671</v>
      </c>
      <c r="P45" s="35">
        <v>400</v>
      </c>
      <c r="Q45" s="38">
        <v>131</v>
      </c>
      <c r="R45" s="35">
        <v>485</v>
      </c>
      <c r="S45" s="35">
        <v>757</v>
      </c>
      <c r="T45" s="40">
        <v>167</v>
      </c>
    </row>
    <row r="46" spans="1:20" x14ac:dyDescent="0.35">
      <c r="A46" s="13" t="s">
        <v>47</v>
      </c>
      <c r="B46" s="13" t="str">
        <f>LEFT(Tabla4[[#This Row],[Periodo]],2)</f>
        <v>Q1</v>
      </c>
      <c r="C46" s="13" t="str">
        <f>RIGHT(Tabla4[[#This Row],[Periodo]],5)</f>
        <v xml:space="preserve"> 2016</v>
      </c>
      <c r="D46" s="37">
        <v>4.8849999999999998</v>
      </c>
      <c r="E46" s="38">
        <v>2.4950000000000001</v>
      </c>
      <c r="F46" s="35">
        <v>1.964</v>
      </c>
      <c r="G46" s="38">
        <v>2.375</v>
      </c>
      <c r="H46" s="35">
        <v>1.9039999999999999</v>
      </c>
      <c r="I46" s="38">
        <v>454</v>
      </c>
      <c r="J46" s="40">
        <v>81</v>
      </c>
      <c r="K46" s="35">
        <v>471</v>
      </c>
      <c r="L46" s="37">
        <v>695</v>
      </c>
      <c r="M46" s="35">
        <v>4.2949999999999999</v>
      </c>
      <c r="N46" s="37">
        <v>595</v>
      </c>
      <c r="O46" s="35">
        <v>697</v>
      </c>
      <c r="P46" s="35">
        <v>418</v>
      </c>
      <c r="Q46" s="38">
        <v>116</v>
      </c>
      <c r="R46" s="35">
        <v>425</v>
      </c>
      <c r="S46" s="35">
        <v>615</v>
      </c>
      <c r="T46" s="40">
        <v>171</v>
      </c>
    </row>
    <row r="47" spans="1:20" x14ac:dyDescent="0.35">
      <c r="A47" s="13" t="s">
        <v>48</v>
      </c>
      <c r="B47" s="13" t="str">
        <f>LEFT(Tabla4[[#This Row],[Periodo]],2)</f>
        <v>Q2</v>
      </c>
      <c r="C47" s="13" t="str">
        <f>RIGHT(Tabla4[[#This Row],[Periodo]],5)</f>
        <v xml:space="preserve"> 2016</v>
      </c>
      <c r="D47" s="37">
        <v>5.3330000000000002</v>
      </c>
      <c r="E47" s="38">
        <v>2.84</v>
      </c>
      <c r="F47" s="35">
        <v>2.1259999999999999</v>
      </c>
      <c r="G47" s="38">
        <v>2.585</v>
      </c>
      <c r="H47" s="35">
        <v>1.9339999999999999</v>
      </c>
      <c r="I47" s="38">
        <v>519</v>
      </c>
      <c r="J47" s="40">
        <v>87</v>
      </c>
      <c r="K47" s="35">
        <v>517</v>
      </c>
      <c r="L47" s="37">
        <v>693</v>
      </c>
      <c r="M47" s="35">
        <v>4.5350000000000001</v>
      </c>
      <c r="N47" s="37">
        <v>670</v>
      </c>
      <c r="O47" s="35">
        <v>759</v>
      </c>
      <c r="P47" s="35">
        <v>467</v>
      </c>
      <c r="Q47" s="38">
        <v>137</v>
      </c>
      <c r="R47" s="35">
        <v>474</v>
      </c>
      <c r="S47" s="35">
        <v>643</v>
      </c>
      <c r="T47" s="40">
        <v>173</v>
      </c>
    </row>
    <row r="48" spans="1:20" x14ac:dyDescent="0.35">
      <c r="A48" s="13" t="s">
        <v>49</v>
      </c>
      <c r="B48" s="13" t="str">
        <f>LEFT(Tabla4[[#This Row],[Periodo]],2)</f>
        <v>Q3</v>
      </c>
      <c r="C48" s="13" t="str">
        <f>RIGHT(Tabla4[[#This Row],[Periodo]],5)</f>
        <v xml:space="preserve"> 2016</v>
      </c>
      <c r="D48" s="37">
        <v>5.3019999999999996</v>
      </c>
      <c r="E48" s="38">
        <v>2.8330000000000002</v>
      </c>
      <c r="F48" s="35">
        <v>2.105</v>
      </c>
      <c r="G48" s="38">
        <v>2.5579999999999998</v>
      </c>
      <c r="H48" s="35">
        <v>1.833</v>
      </c>
      <c r="I48" s="38">
        <v>465</v>
      </c>
      <c r="J48" s="40">
        <v>95</v>
      </c>
      <c r="K48" s="35">
        <v>509</v>
      </c>
      <c r="L48" s="37">
        <v>717</v>
      </c>
      <c r="M48" s="35">
        <v>4.4909999999999997</v>
      </c>
      <c r="N48" s="37">
        <v>683</v>
      </c>
      <c r="O48" s="35">
        <v>739</v>
      </c>
      <c r="P48" s="35">
        <v>448</v>
      </c>
      <c r="Q48" s="38">
        <v>149</v>
      </c>
      <c r="R48" s="35">
        <v>456</v>
      </c>
      <c r="S48" s="35">
        <v>579</v>
      </c>
      <c r="T48" s="40">
        <v>168</v>
      </c>
    </row>
    <row r="49" spans="1:20" x14ac:dyDescent="0.35">
      <c r="A49" s="13" t="s">
        <v>50</v>
      </c>
      <c r="B49" s="13" t="str">
        <f>LEFT(Tabla4[[#This Row],[Periodo]],2)</f>
        <v>Q4</v>
      </c>
      <c r="C49" s="13" t="str">
        <f>RIGHT(Tabla4[[#This Row],[Periodo]],5)</f>
        <v xml:space="preserve"> 2016</v>
      </c>
      <c r="D49" s="37">
        <v>5.3330000000000002</v>
      </c>
      <c r="E49" s="38">
        <v>3.157</v>
      </c>
      <c r="F49" s="35">
        <v>2.1909999999999998</v>
      </c>
      <c r="G49" s="38">
        <v>2.645</v>
      </c>
      <c r="H49" s="35">
        <v>1.998</v>
      </c>
      <c r="I49" s="38">
        <v>530</v>
      </c>
      <c r="J49" s="40">
        <v>104</v>
      </c>
      <c r="K49" s="35">
        <v>571</v>
      </c>
      <c r="L49" s="37">
        <v>727</v>
      </c>
      <c r="M49" s="35">
        <v>4.9530000000000003</v>
      </c>
      <c r="N49" s="37">
        <v>759</v>
      </c>
      <c r="O49" s="35">
        <v>768</v>
      </c>
      <c r="P49" s="35">
        <v>443</v>
      </c>
      <c r="Q49" s="38">
        <v>171</v>
      </c>
      <c r="R49" s="35">
        <v>514</v>
      </c>
      <c r="S49" s="35">
        <v>602</v>
      </c>
      <c r="T49" s="40">
        <v>201</v>
      </c>
    </row>
    <row r="50" spans="1:20" x14ac:dyDescent="0.35">
      <c r="A50" s="13" t="s">
        <v>51</v>
      </c>
      <c r="B50" s="13" t="str">
        <f>LEFT(Tabla4[[#This Row],[Periodo]],2)</f>
        <v>Q1</v>
      </c>
      <c r="C50" s="13" t="str">
        <f>RIGHT(Tabla4[[#This Row],[Periodo]],5)</f>
        <v xml:space="preserve"> 2017</v>
      </c>
      <c r="D50" s="37">
        <v>6.335</v>
      </c>
      <c r="E50" s="38">
        <v>2.9550000000000001</v>
      </c>
      <c r="F50" s="35">
        <v>2.16</v>
      </c>
      <c r="G50" s="38">
        <v>2.4750000000000001</v>
      </c>
      <c r="H50" s="35">
        <v>1.972</v>
      </c>
      <c r="I50" s="38">
        <v>514</v>
      </c>
      <c r="J50" s="40">
        <v>102</v>
      </c>
      <c r="K50" s="35">
        <v>500</v>
      </c>
      <c r="L50" s="37">
        <v>734</v>
      </c>
      <c r="M50" s="35">
        <v>4.7649999999999997</v>
      </c>
      <c r="N50" s="37">
        <v>680</v>
      </c>
      <c r="O50" s="35">
        <v>884</v>
      </c>
      <c r="P50" s="35">
        <v>462</v>
      </c>
      <c r="Q50" s="38">
        <v>142</v>
      </c>
      <c r="R50" s="35">
        <v>488</v>
      </c>
      <c r="S50" s="35">
        <v>663</v>
      </c>
      <c r="T50" s="40">
        <v>197</v>
      </c>
    </row>
    <row r="51" spans="1:20" x14ac:dyDescent="0.35">
      <c r="A51" s="13" t="s">
        <v>52</v>
      </c>
      <c r="B51" s="13" t="str">
        <f>LEFT(Tabla4[[#This Row],[Periodo]],2)</f>
        <v>Q2</v>
      </c>
      <c r="C51" s="13" t="str">
        <f>RIGHT(Tabla4[[#This Row],[Periodo]],5)</f>
        <v xml:space="preserve"> 2017</v>
      </c>
      <c r="D51" s="37">
        <v>6.6369999999999996</v>
      </c>
      <c r="E51" s="38">
        <v>3.012</v>
      </c>
      <c r="F51" s="35">
        <v>2.2570000000000001</v>
      </c>
      <c r="G51" s="38">
        <v>2.605</v>
      </c>
      <c r="H51" s="35">
        <v>1.95</v>
      </c>
      <c r="I51" s="38">
        <v>557</v>
      </c>
      <c r="J51" s="40">
        <v>110</v>
      </c>
      <c r="K51" s="35">
        <v>505</v>
      </c>
      <c r="L51" s="37">
        <v>715</v>
      </c>
      <c r="M51" s="35">
        <v>4.99</v>
      </c>
      <c r="N51" s="37">
        <v>759</v>
      </c>
      <c r="O51" s="35">
        <v>842</v>
      </c>
      <c r="P51" s="35">
        <v>509</v>
      </c>
      <c r="Q51" s="38">
        <v>171</v>
      </c>
      <c r="R51" s="35">
        <v>529</v>
      </c>
      <c r="S51" s="35">
        <v>633</v>
      </c>
      <c r="T51" s="40">
        <v>192</v>
      </c>
    </row>
    <row r="52" spans="1:20" x14ac:dyDescent="0.35">
      <c r="A52" s="13" t="s">
        <v>53</v>
      </c>
      <c r="B52" s="13" t="str">
        <f>LEFT(Tabla4[[#This Row],[Periodo]],2)</f>
        <v>Q3</v>
      </c>
      <c r="C52" s="13" t="str">
        <f>RIGHT(Tabla4[[#This Row],[Periodo]],5)</f>
        <v xml:space="preserve"> 2017</v>
      </c>
      <c r="D52" s="37">
        <v>6.8289999999999997</v>
      </c>
      <c r="E52" s="38">
        <v>3.0059999999999998</v>
      </c>
      <c r="F52" s="35">
        <v>2.222</v>
      </c>
      <c r="G52" s="38">
        <v>2.7069999999999999</v>
      </c>
      <c r="H52" s="35">
        <v>1.8129999999999999</v>
      </c>
      <c r="I52" s="38">
        <v>524</v>
      </c>
      <c r="J52" s="40">
        <v>122</v>
      </c>
      <c r="K52" s="35">
        <v>534</v>
      </c>
      <c r="L52" s="37">
        <v>806</v>
      </c>
      <c r="M52" s="35">
        <v>5.1159999999999997</v>
      </c>
      <c r="N52" s="37">
        <v>808</v>
      </c>
      <c r="O52" s="35">
        <v>822</v>
      </c>
      <c r="P52" s="35">
        <v>492</v>
      </c>
      <c r="Q52" s="38">
        <v>185</v>
      </c>
      <c r="R52" s="35">
        <v>535</v>
      </c>
      <c r="S52" s="35">
        <v>722</v>
      </c>
      <c r="T52" s="40">
        <v>193</v>
      </c>
    </row>
    <row r="53" spans="1:20" x14ac:dyDescent="0.35">
      <c r="A53" s="13" t="s">
        <v>54</v>
      </c>
      <c r="B53" s="13" t="str">
        <f>LEFT(Tabla4[[#This Row],[Periodo]],2)</f>
        <v>Q4</v>
      </c>
      <c r="C53" s="13" t="str">
        <f>RIGHT(Tabla4[[#This Row],[Periodo]],5)</f>
        <v xml:space="preserve"> 2017</v>
      </c>
      <c r="D53" s="37">
        <v>7.5890000000000004</v>
      </c>
      <c r="E53" s="38">
        <v>3.4710000000000001</v>
      </c>
      <c r="F53" s="35">
        <v>2.4089999999999998</v>
      </c>
      <c r="G53" s="38">
        <v>2.774</v>
      </c>
      <c r="H53" s="35">
        <v>2.0680000000000001</v>
      </c>
      <c r="I53" s="38">
        <v>601</v>
      </c>
      <c r="J53" s="40">
        <v>131</v>
      </c>
      <c r="K53" s="35">
        <v>621</v>
      </c>
      <c r="L53" s="37">
        <v>803</v>
      </c>
      <c r="M53" s="35">
        <v>6.0469999999999997</v>
      </c>
      <c r="N53" s="37">
        <v>892</v>
      </c>
      <c r="O53" s="35">
        <v>889</v>
      </c>
      <c r="P53" s="35">
        <v>506</v>
      </c>
      <c r="Q53" s="38">
        <v>221</v>
      </c>
      <c r="R53" s="35">
        <v>595</v>
      </c>
      <c r="S53" s="35">
        <v>679</v>
      </c>
      <c r="T53" s="40">
        <v>208</v>
      </c>
    </row>
    <row r="54" spans="1:20" x14ac:dyDescent="0.35">
      <c r="A54" s="13" t="s">
        <v>55</v>
      </c>
      <c r="B54" s="13" t="str">
        <f>LEFT(Tabla4[[#This Row],[Periodo]],2)</f>
        <v>Q1</v>
      </c>
      <c r="C54" s="13" t="str">
        <f>RIGHT(Tabla4[[#This Row],[Periodo]],5)</f>
        <v xml:space="preserve"> 2018</v>
      </c>
      <c r="D54" s="37">
        <v>7.39</v>
      </c>
      <c r="E54" s="38">
        <v>3.2410000000000001</v>
      </c>
      <c r="F54" s="35">
        <v>2.379</v>
      </c>
      <c r="G54" s="38">
        <v>2.677</v>
      </c>
      <c r="H54" s="35">
        <v>2.0179999999999998</v>
      </c>
      <c r="I54" s="38">
        <v>592</v>
      </c>
      <c r="J54" s="40">
        <v>124</v>
      </c>
      <c r="K54" s="35">
        <v>552</v>
      </c>
      <c r="L54" s="37">
        <v>791</v>
      </c>
      <c r="M54" s="35">
        <v>5.8529999999999998</v>
      </c>
      <c r="N54" s="37">
        <v>848</v>
      </c>
      <c r="O54" s="35">
        <v>895</v>
      </c>
      <c r="P54" s="35">
        <v>538</v>
      </c>
      <c r="Q54" s="38">
        <v>184</v>
      </c>
      <c r="R54" s="35">
        <v>587</v>
      </c>
      <c r="S54" s="35">
        <v>730</v>
      </c>
      <c r="T54" s="40">
        <v>213</v>
      </c>
    </row>
    <row r="55" spans="1:20" x14ac:dyDescent="0.35">
      <c r="A55" s="13" t="s">
        <v>56</v>
      </c>
      <c r="B55" s="13" t="str">
        <f>LEFT(Tabla4[[#This Row],[Periodo]],2)</f>
        <v>Q2</v>
      </c>
      <c r="C55" s="13" t="str">
        <f>RIGHT(Tabla4[[#This Row],[Periodo]],5)</f>
        <v xml:space="preserve"> 2018</v>
      </c>
      <c r="D55" s="37">
        <v>7.7670000000000003</v>
      </c>
      <c r="E55" s="38">
        <v>3.3220000000000001</v>
      </c>
      <c r="F55" s="35">
        <v>2.4900000000000002</v>
      </c>
      <c r="G55" s="38">
        <v>2.8420000000000001</v>
      </c>
      <c r="H55" s="35">
        <v>2.008</v>
      </c>
      <c r="I55" s="38">
        <v>624</v>
      </c>
      <c r="J55" s="40">
        <v>124</v>
      </c>
      <c r="K55" s="35">
        <v>576</v>
      </c>
      <c r="L55" s="37">
        <v>789</v>
      </c>
      <c r="M55" s="35">
        <v>6.0780000000000003</v>
      </c>
      <c r="N55" s="37">
        <v>909</v>
      </c>
      <c r="O55" s="35">
        <v>944</v>
      </c>
      <c r="P55" s="35">
        <v>581</v>
      </c>
      <c r="Q55" s="38">
        <v>243</v>
      </c>
      <c r="R55" s="35">
        <v>610</v>
      </c>
      <c r="S55" s="35">
        <v>709</v>
      </c>
      <c r="T55" s="40">
        <v>212</v>
      </c>
    </row>
    <row r="56" spans="1:20" x14ac:dyDescent="0.35">
      <c r="A56" s="13" t="s">
        <v>57</v>
      </c>
      <c r="B56" s="13" t="str">
        <f>LEFT(Tabla4[[#This Row],[Periodo]],2)</f>
        <v>Q3</v>
      </c>
      <c r="C56" s="13" t="str">
        <f>RIGHT(Tabla4[[#This Row],[Periodo]],5)</f>
        <v xml:space="preserve"> 2018</v>
      </c>
      <c r="D56" s="37">
        <v>7.6559999999999997</v>
      </c>
      <c r="E56" s="38">
        <v>3.242</v>
      </c>
      <c r="F56" s="35">
        <v>2.3929999999999998</v>
      </c>
      <c r="G56" s="38">
        <v>2.7669999999999999</v>
      </c>
      <c r="H56" s="35">
        <v>1.837</v>
      </c>
      <c r="I56" s="38">
        <v>588</v>
      </c>
      <c r="J56" s="40">
        <v>151</v>
      </c>
      <c r="K56" s="35">
        <v>545</v>
      </c>
      <c r="L56" s="37">
        <v>824</v>
      </c>
      <c r="M56" s="35">
        <v>5.92</v>
      </c>
      <c r="N56" s="37">
        <v>921</v>
      </c>
      <c r="O56" s="35">
        <v>907</v>
      </c>
      <c r="P56" s="35">
        <v>545</v>
      </c>
      <c r="Q56" s="38">
        <v>267</v>
      </c>
      <c r="R56" s="35">
        <v>610</v>
      </c>
      <c r="S56" s="35">
        <v>802</v>
      </c>
      <c r="T56" s="40">
        <v>211</v>
      </c>
    </row>
    <row r="57" spans="1:20" x14ac:dyDescent="0.35">
      <c r="A57" s="13" t="s">
        <v>58</v>
      </c>
      <c r="B57" s="13" t="str">
        <f>LEFT(Tabla4[[#This Row],[Periodo]],2)</f>
        <v>Q4</v>
      </c>
      <c r="C57" s="13" t="str">
        <f>RIGHT(Tabla4[[#This Row],[Periodo]],5)</f>
        <v xml:space="preserve"> 2018</v>
      </c>
      <c r="D57" s="37">
        <v>7.7649999999999997</v>
      </c>
      <c r="E57" s="38">
        <v>3.7959999999999998</v>
      </c>
      <c r="F57" s="35">
        <v>2.5609999999999999</v>
      </c>
      <c r="G57" s="38">
        <v>2.8410000000000002</v>
      </c>
      <c r="H57" s="35">
        <v>2.0710000000000002</v>
      </c>
      <c r="I57" s="38">
        <v>651</v>
      </c>
      <c r="J57" s="40">
        <v>165</v>
      </c>
      <c r="K57" s="35">
        <v>617</v>
      </c>
      <c r="L57" s="37">
        <v>814</v>
      </c>
      <c r="M57" s="35">
        <v>6.5069999999999997</v>
      </c>
      <c r="N57" s="37">
        <v>1.0469999999999999</v>
      </c>
      <c r="O57" s="35">
        <v>978</v>
      </c>
      <c r="P57" s="35">
        <v>549</v>
      </c>
      <c r="Q57" s="38">
        <v>338</v>
      </c>
      <c r="R57" s="35">
        <v>642</v>
      </c>
      <c r="S57" s="35">
        <v>741</v>
      </c>
      <c r="T57" s="40">
        <v>223</v>
      </c>
    </row>
    <row r="58" spans="1:20" x14ac:dyDescent="0.35">
      <c r="A58" s="13" t="s">
        <v>59</v>
      </c>
      <c r="B58" s="13" t="str">
        <f>LEFT(Tabla4[[#This Row],[Periodo]],2)</f>
        <v>Q1</v>
      </c>
      <c r="C58" s="13" t="str">
        <f>RIGHT(Tabla4[[#This Row],[Periodo]],5)</f>
        <v xml:space="preserve"> 2019</v>
      </c>
      <c r="D58" s="37">
        <v>7.5350000000000001</v>
      </c>
      <c r="E58" s="38">
        <v>3.516</v>
      </c>
      <c r="F58" s="35">
        <v>2.4929999999999999</v>
      </c>
      <c r="G58" s="38">
        <v>2.6320000000000001</v>
      </c>
      <c r="H58" s="35">
        <v>1.976</v>
      </c>
      <c r="I58" s="38">
        <v>662</v>
      </c>
      <c r="J58" s="40">
        <v>160</v>
      </c>
      <c r="K58" s="35">
        <v>554</v>
      </c>
      <c r="L58" s="37">
        <v>831</v>
      </c>
      <c r="M58" s="35">
        <v>6.125</v>
      </c>
      <c r="N58" s="37">
        <v>974</v>
      </c>
      <c r="O58" s="35">
        <v>993</v>
      </c>
      <c r="P58" s="35">
        <v>576</v>
      </c>
      <c r="Q58" s="38">
        <v>281</v>
      </c>
      <c r="R58" s="35">
        <v>614</v>
      </c>
      <c r="S58" s="35">
        <v>779</v>
      </c>
      <c r="T58" s="40">
        <v>232</v>
      </c>
    </row>
    <row r="59" spans="1:20" x14ac:dyDescent="0.35">
      <c r="A59" s="13" t="s">
        <v>60</v>
      </c>
      <c r="B59" s="13" t="str">
        <f>LEFT(Tabla4[[#This Row],[Periodo]],2)</f>
        <v>Q2</v>
      </c>
      <c r="C59" s="13" t="str">
        <f>RIGHT(Tabla4[[#This Row],[Periodo]],5)</f>
        <v xml:space="preserve"> 2019</v>
      </c>
      <c r="D59" s="37">
        <v>7.9790000000000001</v>
      </c>
      <c r="E59" s="38">
        <v>3.65</v>
      </c>
      <c r="F59" s="35">
        <v>2.6309999999999998</v>
      </c>
      <c r="G59" s="38">
        <v>2.84</v>
      </c>
      <c r="H59" s="35">
        <v>1.9890000000000001</v>
      </c>
      <c r="I59" s="38">
        <v>705</v>
      </c>
      <c r="J59" s="40">
        <v>177</v>
      </c>
      <c r="K59" s="35">
        <v>573</v>
      </c>
      <c r="L59" s="37">
        <v>818</v>
      </c>
      <c r="M59" s="35">
        <v>6.3159999999999998</v>
      </c>
      <c r="N59" s="37">
        <v>1.099</v>
      </c>
      <c r="O59" s="35">
        <v>1.087</v>
      </c>
      <c r="P59" s="35">
        <v>620</v>
      </c>
      <c r="Q59" s="38">
        <v>336</v>
      </c>
      <c r="R59" s="35">
        <v>653</v>
      </c>
      <c r="S59" s="35">
        <v>826</v>
      </c>
      <c r="T59" s="40">
        <v>230</v>
      </c>
    </row>
    <row r="60" spans="1:20" x14ac:dyDescent="0.35">
      <c r="A60" s="14" t="s">
        <v>61</v>
      </c>
      <c r="B60" s="14" t="str">
        <f>LEFT(Tabla4[[#This Row],[Periodo]],2)</f>
        <v>Q3</v>
      </c>
      <c r="C60" s="14" t="str">
        <f>RIGHT(Tabla4[[#This Row],[Periodo]],5)</f>
        <v xml:space="preserve"> 2019</v>
      </c>
      <c r="D60" s="42">
        <v>8.0760000000000005</v>
      </c>
      <c r="E60" s="45">
        <v>3.5870000000000002</v>
      </c>
      <c r="F60" s="41">
        <v>2.7069999999999999</v>
      </c>
      <c r="G60" s="45">
        <v>2.851</v>
      </c>
      <c r="H60" s="41">
        <v>1.8919999999999999</v>
      </c>
      <c r="I60" s="45">
        <v>681</v>
      </c>
      <c r="J60" s="44">
        <v>192</v>
      </c>
      <c r="K60" s="41">
        <v>561</v>
      </c>
      <c r="L60" s="42">
        <v>852</v>
      </c>
      <c r="M60" s="41">
        <v>6.2720000000000002</v>
      </c>
      <c r="N60" s="42">
        <v>1.1279999999999999</v>
      </c>
      <c r="O60" s="41">
        <v>1.0940000000000001</v>
      </c>
      <c r="P60" s="41">
        <v>605</v>
      </c>
      <c r="Q60" s="45">
        <v>396</v>
      </c>
      <c r="R60" s="41">
        <v>648</v>
      </c>
      <c r="S60" s="41">
        <v>879</v>
      </c>
      <c r="T60" s="44">
        <v>229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F64D-7EAA-4799-9C7A-FDF281611B4D}">
  <dimension ref="A1:T60"/>
  <sheetViews>
    <sheetView topLeftCell="A16" workbookViewId="0">
      <selection activeCell="D65" sqref="D65"/>
    </sheetView>
  </sheetViews>
  <sheetFormatPr baseColWidth="10" defaultRowHeight="14.5" x14ac:dyDescent="0.35"/>
  <cols>
    <col min="1" max="2" width="14.90625" customWidth="1"/>
    <col min="3" max="3" width="12.453125" customWidth="1"/>
    <col min="6" max="6" width="17.90625" customWidth="1"/>
    <col min="11" max="11" width="16.36328125" customWidth="1"/>
    <col min="13" max="13" width="13.36328125" customWidth="1"/>
    <col min="14" max="14" width="24.1796875" customWidth="1"/>
    <col min="15" max="15" width="17.7265625" customWidth="1"/>
    <col min="16" max="16" width="19.90625" customWidth="1"/>
    <col min="17" max="17" width="11.90625" customWidth="1"/>
    <col min="19" max="19" width="15.7265625" customWidth="1"/>
  </cols>
  <sheetData>
    <row r="1" spans="1:20" x14ac:dyDescent="0.35">
      <c r="A1" t="s">
        <v>1198</v>
      </c>
      <c r="B1" t="s">
        <v>618</v>
      </c>
      <c r="C1" t="s">
        <v>1158</v>
      </c>
      <c r="D1" t="s">
        <v>1159</v>
      </c>
      <c r="E1" t="s">
        <v>1167</v>
      </c>
      <c r="F1" t="s">
        <v>1160</v>
      </c>
      <c r="G1" t="s">
        <v>1166</v>
      </c>
      <c r="H1" t="s">
        <v>1165</v>
      </c>
      <c r="I1" t="s">
        <v>1164</v>
      </c>
      <c r="J1" t="s">
        <v>1161</v>
      </c>
      <c r="K1" t="s">
        <v>1162</v>
      </c>
      <c r="L1" t="s">
        <v>1163</v>
      </c>
      <c r="M1" t="s">
        <v>1168</v>
      </c>
      <c r="N1" t="s">
        <v>1169</v>
      </c>
      <c r="O1" t="s">
        <v>1170</v>
      </c>
      <c r="P1" t="s">
        <v>1171</v>
      </c>
      <c r="Q1" t="s">
        <v>1172</v>
      </c>
      <c r="R1" t="s">
        <v>1173</v>
      </c>
      <c r="S1" t="s">
        <v>1174</v>
      </c>
      <c r="T1" t="s">
        <v>1175</v>
      </c>
    </row>
    <row r="2" spans="1:20" x14ac:dyDescent="0.35">
      <c r="A2" s="11" t="s">
        <v>3</v>
      </c>
      <c r="B2" s="11" t="s">
        <v>1183</v>
      </c>
      <c r="C2">
        <v>5.383</v>
      </c>
      <c r="D2">
        <v>1.2030000000000001</v>
      </c>
      <c r="E2">
        <v>0</v>
      </c>
      <c r="F2">
        <v>1.615</v>
      </c>
      <c r="G2">
        <v>0</v>
      </c>
      <c r="H2">
        <v>0</v>
      </c>
      <c r="I2">
        <v>0</v>
      </c>
      <c r="J2">
        <v>2.383</v>
      </c>
      <c r="K2">
        <v>829</v>
      </c>
      <c r="L2">
        <v>108</v>
      </c>
      <c r="M2">
        <v>299</v>
      </c>
      <c r="N2">
        <v>559</v>
      </c>
      <c r="O2">
        <v>42</v>
      </c>
      <c r="P2">
        <v>249</v>
      </c>
      <c r="Q2">
        <v>152</v>
      </c>
      <c r="R2">
        <v>624</v>
      </c>
      <c r="S2">
        <v>351</v>
      </c>
      <c r="T2">
        <f t="shared" ref="T2:T33" si="0">SUM(C2:S2)</f>
        <v>3223.5839999999998</v>
      </c>
    </row>
    <row r="3" spans="1:20" x14ac:dyDescent="0.35">
      <c r="A3" s="11" t="s">
        <v>4</v>
      </c>
      <c r="B3" s="11" t="s">
        <v>1183</v>
      </c>
      <c r="C3">
        <v>5.524</v>
      </c>
      <c r="D3">
        <v>1.2190000000000001</v>
      </c>
      <c r="E3">
        <v>0</v>
      </c>
      <c r="F3">
        <v>1.617</v>
      </c>
      <c r="G3">
        <v>69</v>
      </c>
      <c r="H3">
        <v>0</v>
      </c>
      <c r="I3">
        <v>0</v>
      </c>
      <c r="J3">
        <v>2.577</v>
      </c>
      <c r="K3">
        <v>847</v>
      </c>
      <c r="L3">
        <v>125</v>
      </c>
      <c r="M3">
        <v>291</v>
      </c>
      <c r="N3">
        <v>654</v>
      </c>
      <c r="O3">
        <v>53</v>
      </c>
      <c r="P3">
        <v>258</v>
      </c>
      <c r="Q3">
        <v>161</v>
      </c>
      <c r="R3">
        <v>657</v>
      </c>
      <c r="S3">
        <v>347</v>
      </c>
      <c r="T3">
        <f t="shared" si="0"/>
        <v>3472.9369999999999</v>
      </c>
    </row>
    <row r="4" spans="1:20" x14ac:dyDescent="0.35">
      <c r="A4" s="11" t="s">
        <v>5</v>
      </c>
      <c r="B4" s="11" t="s">
        <v>1183</v>
      </c>
      <c r="C4">
        <v>5.3840000000000003</v>
      </c>
      <c r="D4">
        <v>1.1719999999999999</v>
      </c>
      <c r="E4">
        <v>0</v>
      </c>
      <c r="F4">
        <v>1.5109999999999999</v>
      </c>
      <c r="G4">
        <v>74</v>
      </c>
      <c r="H4">
        <v>0</v>
      </c>
      <c r="I4">
        <v>0</v>
      </c>
      <c r="J4">
        <v>2.3980000000000001</v>
      </c>
      <c r="K4">
        <v>763</v>
      </c>
      <c r="L4">
        <v>127</v>
      </c>
      <c r="M4">
        <v>283</v>
      </c>
      <c r="N4">
        <v>679</v>
      </c>
      <c r="O4">
        <v>61</v>
      </c>
      <c r="P4">
        <v>241</v>
      </c>
      <c r="Q4">
        <v>158</v>
      </c>
      <c r="R4">
        <v>587</v>
      </c>
      <c r="S4">
        <v>386</v>
      </c>
      <c r="T4">
        <f t="shared" si="0"/>
        <v>3369.4650000000001</v>
      </c>
    </row>
    <row r="5" spans="1:20" x14ac:dyDescent="0.35">
      <c r="A5" s="11" t="s">
        <v>6</v>
      </c>
      <c r="B5" s="11" t="s">
        <v>1183</v>
      </c>
      <c r="C5">
        <v>6.0469999999999997</v>
      </c>
      <c r="D5">
        <v>1.016</v>
      </c>
      <c r="E5">
        <v>0</v>
      </c>
      <c r="F5">
        <v>1.54</v>
      </c>
      <c r="G5">
        <v>78</v>
      </c>
      <c r="H5">
        <v>0</v>
      </c>
      <c r="I5">
        <v>0</v>
      </c>
      <c r="J5">
        <v>2.4910000000000001</v>
      </c>
      <c r="K5">
        <v>848</v>
      </c>
      <c r="L5">
        <v>146</v>
      </c>
      <c r="M5">
        <v>307</v>
      </c>
      <c r="N5">
        <v>741</v>
      </c>
      <c r="O5">
        <v>72</v>
      </c>
      <c r="P5">
        <v>250</v>
      </c>
      <c r="Q5">
        <v>167</v>
      </c>
      <c r="R5">
        <v>647</v>
      </c>
      <c r="S5">
        <v>334</v>
      </c>
      <c r="T5">
        <f t="shared" si="0"/>
        <v>3601.0940000000001</v>
      </c>
    </row>
    <row r="6" spans="1:20" x14ac:dyDescent="0.35">
      <c r="A6" s="11" t="s">
        <v>7</v>
      </c>
      <c r="B6" s="11" t="s">
        <v>1184</v>
      </c>
      <c r="C6">
        <v>4.58</v>
      </c>
      <c r="D6">
        <v>1.321</v>
      </c>
      <c r="E6">
        <v>0</v>
      </c>
      <c r="F6">
        <v>1.62</v>
      </c>
      <c r="G6">
        <v>88</v>
      </c>
      <c r="H6">
        <v>0</v>
      </c>
      <c r="I6">
        <v>0</v>
      </c>
      <c r="J6">
        <v>2.4089999999999998</v>
      </c>
      <c r="K6">
        <v>860</v>
      </c>
      <c r="L6">
        <v>162</v>
      </c>
      <c r="M6">
        <v>308</v>
      </c>
      <c r="N6">
        <v>684</v>
      </c>
      <c r="O6">
        <v>77</v>
      </c>
      <c r="P6">
        <v>257</v>
      </c>
      <c r="Q6">
        <v>168</v>
      </c>
      <c r="R6">
        <v>600</v>
      </c>
      <c r="S6">
        <v>414</v>
      </c>
      <c r="T6">
        <f t="shared" si="0"/>
        <v>3627.9300000000003</v>
      </c>
    </row>
    <row r="7" spans="1:20" x14ac:dyDescent="0.35">
      <c r="A7" s="11" t="s">
        <v>8</v>
      </c>
      <c r="B7" s="11" t="s">
        <v>1184</v>
      </c>
      <c r="C7">
        <v>5.5010000000000003</v>
      </c>
      <c r="D7">
        <v>1.262</v>
      </c>
      <c r="E7">
        <v>1</v>
      </c>
      <c r="F7">
        <v>2.11</v>
      </c>
      <c r="G7">
        <v>101</v>
      </c>
      <c r="H7">
        <v>0</v>
      </c>
      <c r="I7">
        <v>0</v>
      </c>
      <c r="J7">
        <v>2.649</v>
      </c>
      <c r="K7">
        <v>882</v>
      </c>
      <c r="L7">
        <v>171</v>
      </c>
      <c r="M7">
        <v>318</v>
      </c>
      <c r="N7">
        <v>714</v>
      </c>
      <c r="O7">
        <v>87</v>
      </c>
      <c r="P7">
        <v>267</v>
      </c>
      <c r="Q7">
        <v>191</v>
      </c>
      <c r="R7">
        <v>650</v>
      </c>
      <c r="S7">
        <v>396</v>
      </c>
      <c r="T7">
        <f t="shared" si="0"/>
        <v>3789.5219999999999</v>
      </c>
    </row>
    <row r="8" spans="1:20" x14ac:dyDescent="0.35">
      <c r="A8" s="11" t="s">
        <v>9</v>
      </c>
      <c r="B8" s="11" t="s">
        <v>1184</v>
      </c>
      <c r="C8">
        <v>5.5739999999999998</v>
      </c>
      <c r="D8">
        <v>1.2310000000000001</v>
      </c>
      <c r="E8">
        <v>1</v>
      </c>
      <c r="F8">
        <v>2.0259999999999998</v>
      </c>
      <c r="G8">
        <v>120</v>
      </c>
      <c r="H8">
        <v>1</v>
      </c>
      <c r="I8">
        <v>56</v>
      </c>
      <c r="J8">
        <v>2.5569999999999999</v>
      </c>
      <c r="K8">
        <v>820</v>
      </c>
      <c r="L8">
        <v>164</v>
      </c>
      <c r="M8">
        <v>305</v>
      </c>
      <c r="N8">
        <v>725</v>
      </c>
      <c r="O8">
        <v>96</v>
      </c>
      <c r="P8">
        <v>247</v>
      </c>
      <c r="Q8">
        <v>187</v>
      </c>
      <c r="R8">
        <v>606</v>
      </c>
      <c r="S8">
        <v>454</v>
      </c>
      <c r="T8">
        <f t="shared" si="0"/>
        <v>3793.3879999999999</v>
      </c>
    </row>
    <row r="9" spans="1:20" x14ac:dyDescent="0.35">
      <c r="A9" s="11" t="s">
        <v>10</v>
      </c>
      <c r="B9" s="11" t="s">
        <v>1184</v>
      </c>
      <c r="C9">
        <v>6.8209999999999997</v>
      </c>
      <c r="D9">
        <v>1.333</v>
      </c>
      <c r="E9">
        <v>2</v>
      </c>
      <c r="F9">
        <v>2.0649999999999999</v>
      </c>
      <c r="G9">
        <v>154</v>
      </c>
      <c r="H9">
        <v>1</v>
      </c>
      <c r="I9">
        <v>58</v>
      </c>
      <c r="J9">
        <v>2.7629999999999999</v>
      </c>
      <c r="K9">
        <v>934</v>
      </c>
      <c r="L9">
        <v>178</v>
      </c>
      <c r="M9">
        <v>343</v>
      </c>
      <c r="N9">
        <v>1.669</v>
      </c>
      <c r="O9">
        <v>113</v>
      </c>
      <c r="P9">
        <v>266</v>
      </c>
      <c r="Q9">
        <v>192</v>
      </c>
      <c r="R9">
        <v>449</v>
      </c>
      <c r="S9">
        <v>388</v>
      </c>
      <c r="T9">
        <f t="shared" si="0"/>
        <v>3092.6509999999998</v>
      </c>
    </row>
    <row r="10" spans="1:20" x14ac:dyDescent="0.35">
      <c r="A10" s="11" t="s">
        <v>11</v>
      </c>
      <c r="B10" s="11" t="s">
        <v>1185</v>
      </c>
      <c r="C10">
        <v>5.9459999999999997</v>
      </c>
      <c r="D10">
        <v>1.4259999999999999</v>
      </c>
      <c r="E10">
        <v>2</v>
      </c>
      <c r="F10">
        <v>2.0859999999999999</v>
      </c>
      <c r="G10">
        <v>163</v>
      </c>
      <c r="H10">
        <v>1</v>
      </c>
      <c r="I10">
        <v>59</v>
      </c>
      <c r="J10">
        <v>2.6749999999999998</v>
      </c>
      <c r="K10">
        <v>950</v>
      </c>
      <c r="L10">
        <v>183</v>
      </c>
      <c r="M10">
        <v>323</v>
      </c>
      <c r="N10">
        <v>2.3380000000000001</v>
      </c>
      <c r="O10">
        <v>114</v>
      </c>
      <c r="P10">
        <v>264</v>
      </c>
      <c r="Q10">
        <v>211</v>
      </c>
      <c r="R10">
        <v>440</v>
      </c>
      <c r="S10">
        <v>443</v>
      </c>
      <c r="T10">
        <f t="shared" si="0"/>
        <v>3167.471</v>
      </c>
    </row>
    <row r="11" spans="1:20" x14ac:dyDescent="0.35">
      <c r="A11" s="11" t="s">
        <v>12</v>
      </c>
      <c r="B11" s="11" t="s">
        <v>1185</v>
      </c>
      <c r="C11">
        <v>6.3710000000000004</v>
      </c>
      <c r="D11">
        <v>1.464</v>
      </c>
      <c r="E11">
        <v>3</v>
      </c>
      <c r="F11">
        <v>2.0710000000000002</v>
      </c>
      <c r="G11">
        <v>181</v>
      </c>
      <c r="H11">
        <v>1</v>
      </c>
      <c r="I11">
        <v>64</v>
      </c>
      <c r="J11">
        <v>2.8290000000000002</v>
      </c>
      <c r="K11">
        <v>971</v>
      </c>
      <c r="L11">
        <v>191</v>
      </c>
      <c r="M11">
        <v>339</v>
      </c>
      <c r="N11">
        <v>2.3860000000000001</v>
      </c>
      <c r="O11">
        <v>140</v>
      </c>
      <c r="P11">
        <v>273</v>
      </c>
      <c r="Q11">
        <v>237</v>
      </c>
      <c r="R11">
        <v>452</v>
      </c>
      <c r="S11">
        <v>424</v>
      </c>
      <c r="T11">
        <f t="shared" si="0"/>
        <v>3291.1210000000001</v>
      </c>
    </row>
    <row r="12" spans="1:20" x14ac:dyDescent="0.35">
      <c r="A12" s="11" t="s">
        <v>13</v>
      </c>
      <c r="B12" s="11" t="s">
        <v>1185</v>
      </c>
      <c r="C12">
        <v>6.3769999999999998</v>
      </c>
      <c r="D12">
        <v>1.4530000000000001</v>
      </c>
      <c r="E12">
        <v>4</v>
      </c>
      <c r="F12">
        <v>2.048</v>
      </c>
      <c r="G12">
        <v>192</v>
      </c>
      <c r="H12">
        <v>1</v>
      </c>
      <c r="I12">
        <v>64</v>
      </c>
      <c r="J12">
        <v>2.75</v>
      </c>
      <c r="K12">
        <v>903</v>
      </c>
      <c r="L12">
        <v>186</v>
      </c>
      <c r="M12">
        <v>340</v>
      </c>
      <c r="N12">
        <v>2.4009999999999998</v>
      </c>
      <c r="O12">
        <v>157</v>
      </c>
      <c r="P12">
        <v>261</v>
      </c>
      <c r="Q12">
        <v>229</v>
      </c>
      <c r="R12">
        <v>459</v>
      </c>
      <c r="S12">
        <v>501</v>
      </c>
      <c r="T12">
        <f t="shared" si="0"/>
        <v>3312.029</v>
      </c>
    </row>
    <row r="13" spans="1:20" x14ac:dyDescent="0.35">
      <c r="A13" s="11" t="s">
        <v>14</v>
      </c>
      <c r="B13" s="11" t="s">
        <v>1185</v>
      </c>
      <c r="C13">
        <v>7.2210000000000001</v>
      </c>
      <c r="D13">
        <v>1.6579999999999999</v>
      </c>
      <c r="E13">
        <v>4</v>
      </c>
      <c r="F13">
        <v>2.1520000000000001</v>
      </c>
      <c r="G13">
        <v>203</v>
      </c>
      <c r="H13">
        <v>2</v>
      </c>
      <c r="I13">
        <v>69</v>
      </c>
      <c r="J13">
        <v>3.0089999999999999</v>
      </c>
      <c r="K13">
        <v>1.0740000000000001</v>
      </c>
      <c r="L13">
        <v>203</v>
      </c>
      <c r="M13">
        <v>460</v>
      </c>
      <c r="N13">
        <v>2.621</v>
      </c>
      <c r="O13">
        <v>189</v>
      </c>
      <c r="P13">
        <v>293</v>
      </c>
      <c r="Q13">
        <v>245</v>
      </c>
      <c r="R13">
        <v>224</v>
      </c>
      <c r="S13">
        <v>451</v>
      </c>
      <c r="T13">
        <f t="shared" si="0"/>
        <v>2360.7350000000001</v>
      </c>
    </row>
    <row r="14" spans="1:20" x14ac:dyDescent="0.35">
      <c r="A14" s="11" t="s">
        <v>15</v>
      </c>
      <c r="B14" s="11" t="s">
        <v>1186</v>
      </c>
      <c r="C14">
        <v>6.766</v>
      </c>
      <c r="D14">
        <v>1.6339999999999999</v>
      </c>
      <c r="E14">
        <v>7</v>
      </c>
      <c r="F14">
        <v>2.0459999999999998</v>
      </c>
      <c r="G14">
        <v>371</v>
      </c>
      <c r="H14">
        <v>2</v>
      </c>
      <c r="I14">
        <v>71</v>
      </c>
      <c r="J14">
        <v>2.8769999999999998</v>
      </c>
      <c r="K14">
        <v>1.0589999999999999</v>
      </c>
      <c r="L14">
        <v>212</v>
      </c>
      <c r="M14">
        <v>422</v>
      </c>
      <c r="N14">
        <v>2.5539999999999998</v>
      </c>
      <c r="O14">
        <v>188</v>
      </c>
      <c r="P14">
        <v>297</v>
      </c>
      <c r="Q14">
        <v>249</v>
      </c>
      <c r="R14">
        <v>542</v>
      </c>
      <c r="S14">
        <v>518</v>
      </c>
      <c r="T14">
        <f t="shared" si="0"/>
        <v>2895.9360000000001</v>
      </c>
    </row>
    <row r="15" spans="1:20" x14ac:dyDescent="0.35">
      <c r="A15" s="11" t="s">
        <v>16</v>
      </c>
      <c r="B15" s="11" t="s">
        <v>1186</v>
      </c>
      <c r="C15">
        <v>7.3140000000000001</v>
      </c>
      <c r="D15">
        <v>1.7130000000000001</v>
      </c>
      <c r="E15">
        <v>7</v>
      </c>
      <c r="F15">
        <v>2.024</v>
      </c>
      <c r="G15">
        <v>431</v>
      </c>
      <c r="H15">
        <v>2</v>
      </c>
      <c r="I15">
        <v>75</v>
      </c>
      <c r="J15">
        <v>3.1890000000000001</v>
      </c>
      <c r="K15">
        <v>1.08</v>
      </c>
      <c r="L15">
        <v>235</v>
      </c>
      <c r="M15">
        <v>452</v>
      </c>
      <c r="N15">
        <v>2.71</v>
      </c>
      <c r="O15">
        <v>219</v>
      </c>
      <c r="P15">
        <v>328</v>
      </c>
      <c r="Q15">
        <v>281</v>
      </c>
      <c r="R15">
        <v>560</v>
      </c>
      <c r="S15">
        <v>507</v>
      </c>
      <c r="T15">
        <f t="shared" si="0"/>
        <v>3115.0299999999997</v>
      </c>
    </row>
    <row r="16" spans="1:20" x14ac:dyDescent="0.35">
      <c r="A16" s="11" t="s">
        <v>17</v>
      </c>
      <c r="B16" s="11" t="s">
        <v>1186</v>
      </c>
      <c r="C16">
        <v>7.4980000000000002</v>
      </c>
      <c r="D16">
        <v>1.653</v>
      </c>
      <c r="E16">
        <v>10</v>
      </c>
      <c r="F16">
        <v>1.978</v>
      </c>
      <c r="G16">
        <v>429</v>
      </c>
      <c r="H16">
        <v>2</v>
      </c>
      <c r="I16">
        <v>78</v>
      </c>
      <c r="J16">
        <v>3.1509999999999998</v>
      </c>
      <c r="K16">
        <v>952</v>
      </c>
      <c r="L16">
        <v>218</v>
      </c>
      <c r="M16">
        <v>442</v>
      </c>
      <c r="N16">
        <v>2.5880000000000001</v>
      </c>
      <c r="O16">
        <v>236</v>
      </c>
      <c r="P16">
        <v>304</v>
      </c>
      <c r="Q16">
        <v>251</v>
      </c>
      <c r="R16">
        <v>504</v>
      </c>
      <c r="S16">
        <v>593</v>
      </c>
      <c r="T16">
        <f t="shared" si="0"/>
        <v>4035.8679999999999</v>
      </c>
    </row>
    <row r="17" spans="1:20" x14ac:dyDescent="0.35">
      <c r="A17" s="11" t="s">
        <v>18</v>
      </c>
      <c r="B17" s="11" t="s">
        <v>1186</v>
      </c>
      <c r="C17">
        <v>7.95</v>
      </c>
      <c r="D17">
        <v>1.718</v>
      </c>
      <c r="E17">
        <v>12</v>
      </c>
      <c r="F17">
        <v>2.0019999999999998</v>
      </c>
      <c r="G17">
        <v>443</v>
      </c>
      <c r="H17">
        <v>4</v>
      </c>
      <c r="I17">
        <v>83</v>
      </c>
      <c r="J17">
        <v>3.1309999999999998</v>
      </c>
      <c r="K17">
        <v>1.03</v>
      </c>
      <c r="L17">
        <v>223</v>
      </c>
      <c r="M17">
        <v>448</v>
      </c>
      <c r="N17">
        <v>2.6459999999999999</v>
      </c>
      <c r="O17">
        <v>232</v>
      </c>
      <c r="P17">
        <v>310</v>
      </c>
      <c r="Q17">
        <v>243</v>
      </c>
      <c r="R17">
        <v>306</v>
      </c>
      <c r="S17">
        <v>509</v>
      </c>
      <c r="T17">
        <f t="shared" si="0"/>
        <v>2831.4769999999999</v>
      </c>
    </row>
    <row r="18" spans="1:20" x14ac:dyDescent="0.35">
      <c r="A18" s="11" t="s">
        <v>19</v>
      </c>
      <c r="B18" s="11" t="s">
        <v>1187</v>
      </c>
      <c r="C18">
        <v>6.718</v>
      </c>
      <c r="D18">
        <v>1.601</v>
      </c>
      <c r="E18">
        <v>12</v>
      </c>
      <c r="F18">
        <v>2.0099999999999998</v>
      </c>
      <c r="G18">
        <v>429</v>
      </c>
      <c r="H18">
        <v>5</v>
      </c>
      <c r="I18">
        <v>85</v>
      </c>
      <c r="J18">
        <v>2.8239999999999998</v>
      </c>
      <c r="K18">
        <v>993</v>
      </c>
      <c r="L18">
        <v>228</v>
      </c>
      <c r="M18">
        <v>401</v>
      </c>
      <c r="N18">
        <v>2.2549999999999999</v>
      </c>
      <c r="O18">
        <v>188</v>
      </c>
      <c r="P18">
        <v>314</v>
      </c>
      <c r="Q18">
        <v>236</v>
      </c>
      <c r="R18">
        <v>440</v>
      </c>
      <c r="S18">
        <v>554</v>
      </c>
      <c r="T18">
        <f t="shared" si="0"/>
        <v>3900.4079999999999</v>
      </c>
    </row>
    <row r="19" spans="1:20" x14ac:dyDescent="0.35">
      <c r="A19" s="11" t="s">
        <v>20</v>
      </c>
      <c r="B19" s="11" t="s">
        <v>1187</v>
      </c>
      <c r="C19">
        <v>7.4950000000000001</v>
      </c>
      <c r="D19">
        <v>1.6339999999999999</v>
      </c>
      <c r="E19">
        <v>15</v>
      </c>
      <c r="F19">
        <v>2.0739999999999998</v>
      </c>
      <c r="G19">
        <v>402</v>
      </c>
      <c r="H19">
        <v>7</v>
      </c>
      <c r="I19">
        <v>84</v>
      </c>
      <c r="J19">
        <v>3.1230000000000002</v>
      </c>
      <c r="K19">
        <v>1.02</v>
      </c>
      <c r="L19">
        <v>252</v>
      </c>
      <c r="M19">
        <v>427</v>
      </c>
      <c r="N19">
        <v>2.484</v>
      </c>
      <c r="O19">
        <v>261</v>
      </c>
      <c r="P19">
        <v>336</v>
      </c>
      <c r="Q19">
        <v>266</v>
      </c>
      <c r="R19">
        <v>439</v>
      </c>
      <c r="S19">
        <v>510</v>
      </c>
      <c r="T19">
        <f t="shared" si="0"/>
        <v>3016.83</v>
      </c>
    </row>
    <row r="20" spans="1:20" x14ac:dyDescent="0.35">
      <c r="A20" s="11" t="s">
        <v>21</v>
      </c>
      <c r="B20" s="11" t="s">
        <v>1187</v>
      </c>
      <c r="C20">
        <v>7.7610000000000001</v>
      </c>
      <c r="D20">
        <v>1.653</v>
      </c>
      <c r="E20">
        <v>19</v>
      </c>
      <c r="F20">
        <v>2.0249999999999999</v>
      </c>
      <c r="G20">
        <v>403</v>
      </c>
      <c r="H20">
        <v>7</v>
      </c>
      <c r="I20">
        <v>87</v>
      </c>
      <c r="J20">
        <v>3.145</v>
      </c>
      <c r="K20">
        <v>976</v>
      </c>
      <c r="L20">
        <v>247</v>
      </c>
      <c r="M20">
        <v>461</v>
      </c>
      <c r="N20">
        <v>2.5310000000000001</v>
      </c>
      <c r="O20">
        <v>280</v>
      </c>
      <c r="P20">
        <v>326</v>
      </c>
      <c r="Q20">
        <v>259</v>
      </c>
      <c r="R20">
        <v>441</v>
      </c>
      <c r="S20">
        <v>642</v>
      </c>
      <c r="T20">
        <f t="shared" si="0"/>
        <v>4165.1149999999998</v>
      </c>
    </row>
    <row r="21" spans="1:20" x14ac:dyDescent="0.35">
      <c r="A21" s="11" t="s">
        <v>22</v>
      </c>
      <c r="B21" s="11" t="s">
        <v>1187</v>
      </c>
      <c r="C21">
        <v>8.7899999999999991</v>
      </c>
      <c r="D21">
        <v>1.8340000000000001</v>
      </c>
      <c r="E21">
        <v>20</v>
      </c>
      <c r="F21">
        <v>2.0790000000000002</v>
      </c>
      <c r="G21">
        <v>403</v>
      </c>
      <c r="H21">
        <v>10</v>
      </c>
      <c r="I21">
        <v>93</v>
      </c>
      <c r="J21">
        <v>3.47</v>
      </c>
      <c r="K21">
        <v>1.107</v>
      </c>
      <c r="L21">
        <v>275</v>
      </c>
      <c r="M21">
        <v>495</v>
      </c>
      <c r="N21">
        <v>2.641</v>
      </c>
      <c r="O21">
        <v>323</v>
      </c>
      <c r="P21">
        <v>347</v>
      </c>
      <c r="Q21">
        <v>270</v>
      </c>
      <c r="R21">
        <v>115</v>
      </c>
      <c r="S21">
        <v>541</v>
      </c>
      <c r="T21">
        <f t="shared" si="0"/>
        <v>2911.9210000000003</v>
      </c>
    </row>
    <row r="22" spans="1:20" x14ac:dyDescent="0.35">
      <c r="A22" s="11" t="s">
        <v>23</v>
      </c>
      <c r="B22" s="11" t="s">
        <v>1188</v>
      </c>
      <c r="C22">
        <v>7.6980000000000004</v>
      </c>
      <c r="D22">
        <v>1.7989999999999999</v>
      </c>
      <c r="E22">
        <v>21</v>
      </c>
      <c r="F22">
        <v>1.96</v>
      </c>
      <c r="G22">
        <v>412</v>
      </c>
      <c r="H22">
        <v>10</v>
      </c>
      <c r="I22">
        <v>99</v>
      </c>
      <c r="J22">
        <v>2.927</v>
      </c>
      <c r="K22">
        <v>1.0629999999999999</v>
      </c>
      <c r="L22">
        <v>279</v>
      </c>
      <c r="M22">
        <v>454</v>
      </c>
      <c r="N22">
        <v>2.6269999999999998</v>
      </c>
      <c r="O22">
        <v>329</v>
      </c>
      <c r="P22">
        <v>341</v>
      </c>
      <c r="Q22">
        <v>269</v>
      </c>
      <c r="R22">
        <v>367</v>
      </c>
      <c r="S22">
        <v>586</v>
      </c>
      <c r="T22">
        <f t="shared" si="0"/>
        <v>3185.0740000000001</v>
      </c>
    </row>
    <row r="23" spans="1:20" x14ac:dyDescent="0.35">
      <c r="A23" s="11" t="s">
        <v>24</v>
      </c>
      <c r="B23" s="11" t="s">
        <v>1188</v>
      </c>
      <c r="C23">
        <v>8.8260000000000005</v>
      </c>
      <c r="D23">
        <v>1.758</v>
      </c>
      <c r="E23">
        <v>23</v>
      </c>
      <c r="F23">
        <v>1.9279999999999999</v>
      </c>
      <c r="G23">
        <v>418</v>
      </c>
      <c r="H23">
        <v>12</v>
      </c>
      <c r="I23">
        <v>100</v>
      </c>
      <c r="J23">
        <v>3.194</v>
      </c>
      <c r="K23">
        <v>1.0580000000000001</v>
      </c>
      <c r="L23">
        <v>292</v>
      </c>
      <c r="M23">
        <v>468</v>
      </c>
      <c r="N23">
        <v>2.5960000000000001</v>
      </c>
      <c r="O23">
        <v>351</v>
      </c>
      <c r="P23">
        <v>365</v>
      </c>
      <c r="Q23">
        <v>281</v>
      </c>
      <c r="R23">
        <v>358</v>
      </c>
      <c r="S23">
        <v>578</v>
      </c>
      <c r="T23">
        <f t="shared" si="0"/>
        <v>3265.3599999999997</v>
      </c>
    </row>
    <row r="24" spans="1:20" x14ac:dyDescent="0.35">
      <c r="A24" s="11" t="s">
        <v>25</v>
      </c>
      <c r="B24" s="11" t="s">
        <v>1188</v>
      </c>
      <c r="C24">
        <v>8.6750000000000007</v>
      </c>
      <c r="D24">
        <v>1.768</v>
      </c>
      <c r="E24">
        <v>25</v>
      </c>
      <c r="F24">
        <v>1.9159999999999999</v>
      </c>
      <c r="G24">
        <v>421</v>
      </c>
      <c r="H24">
        <v>12</v>
      </c>
      <c r="I24">
        <v>101</v>
      </c>
      <c r="J24">
        <v>3.2240000000000002</v>
      </c>
      <c r="K24">
        <v>965</v>
      </c>
      <c r="L24">
        <v>282</v>
      </c>
      <c r="M24">
        <v>472</v>
      </c>
      <c r="N24">
        <v>2.629</v>
      </c>
      <c r="O24">
        <v>344</v>
      </c>
      <c r="P24">
        <v>349</v>
      </c>
      <c r="Q24">
        <v>270</v>
      </c>
      <c r="R24">
        <v>345</v>
      </c>
      <c r="S24">
        <v>652</v>
      </c>
      <c r="T24">
        <f t="shared" si="0"/>
        <v>4256.2119999999995</v>
      </c>
    </row>
    <row r="25" spans="1:20" x14ac:dyDescent="0.35">
      <c r="A25" s="11" t="s">
        <v>26</v>
      </c>
      <c r="B25" s="11" t="s">
        <v>1188</v>
      </c>
      <c r="C25">
        <v>9.968</v>
      </c>
      <c r="D25">
        <v>1.9950000000000001</v>
      </c>
      <c r="E25">
        <v>28</v>
      </c>
      <c r="F25">
        <v>2.0019999999999998</v>
      </c>
      <c r="G25">
        <v>428</v>
      </c>
      <c r="H25">
        <v>16</v>
      </c>
      <c r="I25">
        <v>106</v>
      </c>
      <c r="J25">
        <v>3.4980000000000002</v>
      </c>
      <c r="K25">
        <v>1.135</v>
      </c>
      <c r="L25">
        <v>306</v>
      </c>
      <c r="M25">
        <v>534</v>
      </c>
      <c r="N25">
        <v>2.5419999999999998</v>
      </c>
      <c r="O25">
        <v>389</v>
      </c>
      <c r="P25">
        <v>392</v>
      </c>
      <c r="Q25">
        <v>284</v>
      </c>
      <c r="R25">
        <v>327</v>
      </c>
      <c r="S25">
        <v>580</v>
      </c>
      <c r="T25">
        <f t="shared" si="0"/>
        <v>3411.14</v>
      </c>
    </row>
    <row r="26" spans="1:20" x14ac:dyDescent="0.35">
      <c r="A26" s="11" t="s">
        <v>27</v>
      </c>
      <c r="B26" s="11" t="s">
        <v>1189</v>
      </c>
      <c r="C26">
        <v>9.0410000000000004</v>
      </c>
      <c r="D26">
        <v>2.0150000000000001</v>
      </c>
      <c r="E26">
        <v>28</v>
      </c>
      <c r="F26">
        <v>1.925</v>
      </c>
      <c r="G26">
        <v>433</v>
      </c>
      <c r="H26">
        <v>14</v>
      </c>
      <c r="I26">
        <v>113</v>
      </c>
      <c r="J26">
        <v>3.2839999999999998</v>
      </c>
      <c r="K26">
        <v>1.1160000000000001</v>
      </c>
      <c r="L26">
        <v>313</v>
      </c>
      <c r="M26">
        <v>485</v>
      </c>
      <c r="N26">
        <v>2.7210000000000001</v>
      </c>
      <c r="O26">
        <v>388</v>
      </c>
      <c r="P26">
        <v>405</v>
      </c>
      <c r="Q26">
        <v>293</v>
      </c>
      <c r="R26">
        <v>354</v>
      </c>
      <c r="S26">
        <v>648</v>
      </c>
      <c r="T26">
        <f t="shared" si="0"/>
        <v>3494.1019999999999</v>
      </c>
    </row>
    <row r="27" spans="1:20" x14ac:dyDescent="0.35">
      <c r="A27" s="11" t="s">
        <v>28</v>
      </c>
      <c r="B27" s="11" t="s">
        <v>1189</v>
      </c>
      <c r="C27">
        <v>9.6159999999999997</v>
      </c>
      <c r="D27">
        <v>2.0459999999999998</v>
      </c>
      <c r="E27">
        <v>32</v>
      </c>
      <c r="F27">
        <v>1.9750000000000001</v>
      </c>
      <c r="G27">
        <v>439</v>
      </c>
      <c r="H27">
        <v>21</v>
      </c>
      <c r="I27">
        <v>110</v>
      </c>
      <c r="J27">
        <v>3.536</v>
      </c>
      <c r="K27">
        <v>1.137</v>
      </c>
      <c r="L27">
        <v>342</v>
      </c>
      <c r="M27">
        <v>522</v>
      </c>
      <c r="N27">
        <v>2.8540000000000001</v>
      </c>
      <c r="O27">
        <v>426</v>
      </c>
      <c r="P27">
        <v>431</v>
      </c>
      <c r="Q27">
        <v>318</v>
      </c>
      <c r="R27">
        <v>381</v>
      </c>
      <c r="S27">
        <v>649</v>
      </c>
      <c r="T27">
        <f t="shared" si="0"/>
        <v>3692.1639999999998</v>
      </c>
    </row>
    <row r="28" spans="1:20" x14ac:dyDescent="0.35">
      <c r="A28" s="11" t="s">
        <v>29</v>
      </c>
      <c r="B28" s="11" t="s">
        <v>1189</v>
      </c>
      <c r="C28">
        <v>9.8170000000000002</v>
      </c>
      <c r="D28">
        <v>2.0310000000000001</v>
      </c>
      <c r="E28">
        <v>45</v>
      </c>
      <c r="F28">
        <v>1.8740000000000001</v>
      </c>
      <c r="G28">
        <v>451</v>
      </c>
      <c r="H28">
        <v>18</v>
      </c>
      <c r="I28">
        <v>104</v>
      </c>
      <c r="J28">
        <v>3.4790000000000001</v>
      </c>
      <c r="K28">
        <v>1.032</v>
      </c>
      <c r="L28">
        <v>315</v>
      </c>
      <c r="M28">
        <v>517</v>
      </c>
      <c r="N28">
        <v>2.9329999999999998</v>
      </c>
      <c r="O28">
        <v>447</v>
      </c>
      <c r="P28">
        <v>413</v>
      </c>
      <c r="Q28">
        <v>301</v>
      </c>
      <c r="R28">
        <v>363</v>
      </c>
      <c r="S28">
        <v>719</v>
      </c>
      <c r="T28">
        <f t="shared" si="0"/>
        <v>3714.1660000000002</v>
      </c>
    </row>
    <row r="29" spans="1:20" x14ac:dyDescent="0.35">
      <c r="A29" s="11" t="s">
        <v>30</v>
      </c>
      <c r="B29" s="11" t="s">
        <v>1189</v>
      </c>
      <c r="C29">
        <v>10.377000000000001</v>
      </c>
      <c r="D29">
        <v>2.2149999999999999</v>
      </c>
      <c r="E29">
        <v>47</v>
      </c>
      <c r="F29">
        <v>1.8480000000000001</v>
      </c>
      <c r="G29">
        <v>467</v>
      </c>
      <c r="H29">
        <v>22</v>
      </c>
      <c r="I29">
        <v>112</v>
      </c>
      <c r="J29">
        <v>3.5939999999999999</v>
      </c>
      <c r="K29">
        <v>1.167</v>
      </c>
      <c r="L29">
        <v>333</v>
      </c>
      <c r="M29">
        <v>550</v>
      </c>
      <c r="N29">
        <v>3.0510000000000002</v>
      </c>
      <c r="O29">
        <v>497</v>
      </c>
      <c r="P29">
        <v>430</v>
      </c>
      <c r="Q29">
        <v>307</v>
      </c>
      <c r="R29">
        <v>395</v>
      </c>
      <c r="S29">
        <v>625</v>
      </c>
      <c r="T29">
        <f t="shared" si="0"/>
        <v>3807.252</v>
      </c>
    </row>
    <row r="30" spans="1:20" x14ac:dyDescent="0.35">
      <c r="A30" s="11" t="s">
        <v>31</v>
      </c>
      <c r="B30" s="11" t="s">
        <v>1190</v>
      </c>
      <c r="C30">
        <v>5.2839999999999998</v>
      </c>
      <c r="D30">
        <v>2.161</v>
      </c>
      <c r="E30">
        <v>48</v>
      </c>
      <c r="F30">
        <v>1.8660000000000001</v>
      </c>
      <c r="G30">
        <v>473</v>
      </c>
      <c r="H30">
        <v>20</v>
      </c>
      <c r="I30">
        <v>119</v>
      </c>
      <c r="J30">
        <v>3.3879999999999999</v>
      </c>
      <c r="K30">
        <v>1.141</v>
      </c>
      <c r="L30">
        <v>349</v>
      </c>
      <c r="M30">
        <v>486</v>
      </c>
      <c r="N30">
        <v>3.0569999999999999</v>
      </c>
      <c r="O30">
        <v>495</v>
      </c>
      <c r="P30">
        <v>459</v>
      </c>
      <c r="Q30">
        <v>323</v>
      </c>
      <c r="R30">
        <v>381</v>
      </c>
      <c r="S30">
        <v>720</v>
      </c>
      <c r="T30">
        <f t="shared" si="0"/>
        <v>3889.8969999999999</v>
      </c>
    </row>
    <row r="31" spans="1:20" x14ac:dyDescent="0.35">
      <c r="A31" s="11" t="s">
        <v>32</v>
      </c>
      <c r="B31" s="11" t="s">
        <v>1190</v>
      </c>
      <c r="C31">
        <v>5.3129999999999997</v>
      </c>
      <c r="D31">
        <v>2.1059999999999999</v>
      </c>
      <c r="E31">
        <v>51</v>
      </c>
      <c r="F31">
        <v>1.8280000000000001</v>
      </c>
      <c r="G31">
        <v>471</v>
      </c>
      <c r="H31">
        <v>23</v>
      </c>
      <c r="I31">
        <v>123</v>
      </c>
      <c r="J31">
        <v>3.5720000000000001</v>
      </c>
      <c r="K31">
        <v>1.125</v>
      </c>
      <c r="L31">
        <v>372</v>
      </c>
      <c r="M31">
        <v>510</v>
      </c>
      <c r="N31">
        <v>3.1080000000000001</v>
      </c>
      <c r="O31">
        <v>537</v>
      </c>
      <c r="P31">
        <v>482</v>
      </c>
      <c r="Q31">
        <v>336</v>
      </c>
      <c r="R31">
        <v>383</v>
      </c>
      <c r="S31">
        <v>705</v>
      </c>
      <c r="T31">
        <f t="shared" si="0"/>
        <v>4010.0519999999997</v>
      </c>
    </row>
    <row r="32" spans="1:20" x14ac:dyDescent="0.35">
      <c r="A32" s="11" t="s">
        <v>33</v>
      </c>
      <c r="B32" s="11" t="s">
        <v>1190</v>
      </c>
      <c r="C32">
        <v>5.2649999999999997</v>
      </c>
      <c r="D32">
        <v>2.052</v>
      </c>
      <c r="E32">
        <v>55</v>
      </c>
      <c r="F32">
        <v>1.7350000000000001</v>
      </c>
      <c r="G32">
        <v>470</v>
      </c>
      <c r="H32">
        <v>23</v>
      </c>
      <c r="I32">
        <v>119</v>
      </c>
      <c r="J32">
        <v>3.4769999999999999</v>
      </c>
      <c r="K32">
        <v>1.026</v>
      </c>
      <c r="L32">
        <v>340</v>
      </c>
      <c r="M32">
        <v>499</v>
      </c>
      <c r="N32">
        <v>3.0859999999999999</v>
      </c>
      <c r="O32">
        <v>538</v>
      </c>
      <c r="P32">
        <v>448</v>
      </c>
      <c r="Q32">
        <v>315</v>
      </c>
      <c r="R32">
        <v>368</v>
      </c>
      <c r="S32">
        <v>756</v>
      </c>
      <c r="T32">
        <f t="shared" si="0"/>
        <v>3947.6409999999996</v>
      </c>
    </row>
    <row r="33" spans="1:20" x14ac:dyDescent="0.35">
      <c r="A33" s="11" t="s">
        <v>34</v>
      </c>
      <c r="B33" s="11" t="s">
        <v>1190</v>
      </c>
      <c r="C33">
        <v>3.1880000000000002</v>
      </c>
      <c r="D33">
        <v>2.3380000000000001</v>
      </c>
      <c r="E33">
        <v>58</v>
      </c>
      <c r="F33">
        <v>1.82</v>
      </c>
      <c r="G33">
        <v>588</v>
      </c>
      <c r="H33">
        <v>33</v>
      </c>
      <c r="I33">
        <v>132</v>
      </c>
      <c r="J33">
        <v>3.4990000000000001</v>
      </c>
      <c r="K33">
        <v>1.181</v>
      </c>
      <c r="L33">
        <v>377</v>
      </c>
      <c r="M33">
        <v>574</v>
      </c>
      <c r="N33">
        <v>3.2589999999999999</v>
      </c>
      <c r="O33">
        <v>609</v>
      </c>
      <c r="P33">
        <v>511</v>
      </c>
      <c r="Q33">
        <v>320</v>
      </c>
      <c r="R33">
        <v>419</v>
      </c>
      <c r="S33">
        <v>678</v>
      </c>
      <c r="T33">
        <f t="shared" si="0"/>
        <v>4314.2849999999999</v>
      </c>
    </row>
    <row r="34" spans="1:20" x14ac:dyDescent="0.35">
      <c r="A34" s="11" t="s">
        <v>35</v>
      </c>
      <c r="B34" s="11" t="s">
        <v>1191</v>
      </c>
      <c r="C34">
        <v>5.3780000000000001</v>
      </c>
      <c r="D34">
        <v>2.19</v>
      </c>
      <c r="E34">
        <v>57</v>
      </c>
      <c r="F34">
        <v>1.7609999999999999</v>
      </c>
      <c r="G34">
        <v>631</v>
      </c>
      <c r="H34">
        <v>30</v>
      </c>
      <c r="I34">
        <v>136</v>
      </c>
      <c r="J34">
        <v>3.448</v>
      </c>
      <c r="K34">
        <v>1.139</v>
      </c>
      <c r="L34">
        <v>384</v>
      </c>
      <c r="M34">
        <v>500</v>
      </c>
      <c r="N34">
        <v>3.1920000000000002</v>
      </c>
      <c r="O34">
        <v>611</v>
      </c>
      <c r="P34">
        <v>497</v>
      </c>
      <c r="Q34">
        <v>332</v>
      </c>
      <c r="R34">
        <v>412</v>
      </c>
      <c r="S34">
        <v>768</v>
      </c>
      <c r="T34">
        <f t="shared" ref="T34:T60" si="1">SUM(C34:S34)</f>
        <v>4375.1080000000002</v>
      </c>
    </row>
    <row r="35" spans="1:20" x14ac:dyDescent="0.35">
      <c r="A35" s="11" t="s">
        <v>36</v>
      </c>
      <c r="B35" s="11" t="s">
        <v>1191</v>
      </c>
      <c r="C35">
        <v>5.4459999999999997</v>
      </c>
      <c r="D35">
        <v>2.2120000000000002</v>
      </c>
      <c r="E35">
        <v>60</v>
      </c>
      <c r="F35">
        <v>1.8089999999999999</v>
      </c>
      <c r="G35">
        <v>613</v>
      </c>
      <c r="H35">
        <v>36</v>
      </c>
      <c r="I35">
        <v>137</v>
      </c>
      <c r="J35">
        <v>3.669</v>
      </c>
      <c r="K35">
        <v>1.17</v>
      </c>
      <c r="L35">
        <v>415</v>
      </c>
      <c r="M35">
        <v>525</v>
      </c>
      <c r="N35">
        <v>3.24</v>
      </c>
      <c r="O35">
        <v>579</v>
      </c>
      <c r="P35">
        <v>517</v>
      </c>
      <c r="Q35">
        <v>353</v>
      </c>
      <c r="R35">
        <v>420</v>
      </c>
      <c r="S35">
        <v>726</v>
      </c>
      <c r="T35">
        <f t="shared" si="1"/>
        <v>4398.5460000000003</v>
      </c>
    </row>
    <row r="36" spans="1:20" x14ac:dyDescent="0.35">
      <c r="A36" s="11" t="s">
        <v>37</v>
      </c>
      <c r="B36" s="11" t="s">
        <v>1191</v>
      </c>
      <c r="C36">
        <v>4.8250000000000002</v>
      </c>
      <c r="D36">
        <v>2.1509999999999998</v>
      </c>
      <c r="E36">
        <v>61</v>
      </c>
      <c r="F36">
        <v>1.7350000000000001</v>
      </c>
      <c r="G36">
        <v>626</v>
      </c>
      <c r="H36">
        <v>43</v>
      </c>
      <c r="I36">
        <v>131</v>
      </c>
      <c r="J36">
        <v>3.71</v>
      </c>
      <c r="K36">
        <v>1.0740000000000001</v>
      </c>
      <c r="L36">
        <v>358</v>
      </c>
      <c r="M36">
        <v>505</v>
      </c>
      <c r="N36">
        <v>3.1920000000000002</v>
      </c>
      <c r="O36">
        <v>499</v>
      </c>
      <c r="P36">
        <v>496</v>
      </c>
      <c r="Q36">
        <v>338</v>
      </c>
      <c r="R36">
        <v>414</v>
      </c>
      <c r="S36">
        <v>770</v>
      </c>
      <c r="T36">
        <f t="shared" si="1"/>
        <v>4257.6869999999999</v>
      </c>
    </row>
    <row r="37" spans="1:20" x14ac:dyDescent="0.35">
      <c r="A37" s="11" t="s">
        <v>38</v>
      </c>
      <c r="B37" s="11" t="s">
        <v>1191</v>
      </c>
      <c r="C37">
        <v>4.008</v>
      </c>
      <c r="D37">
        <v>2.468</v>
      </c>
      <c r="E37">
        <v>69</v>
      </c>
      <c r="F37">
        <v>1.8380000000000001</v>
      </c>
      <c r="G37">
        <v>622</v>
      </c>
      <c r="H37">
        <v>52</v>
      </c>
      <c r="I37">
        <v>142</v>
      </c>
      <c r="J37">
        <v>4.3220000000000001</v>
      </c>
      <c r="K37">
        <v>1.2410000000000001</v>
      </c>
      <c r="L37">
        <v>384</v>
      </c>
      <c r="M37">
        <v>603</v>
      </c>
      <c r="N37">
        <v>3.4670000000000001</v>
      </c>
      <c r="O37">
        <v>576</v>
      </c>
      <c r="P37">
        <v>536</v>
      </c>
      <c r="Q37">
        <v>354</v>
      </c>
      <c r="R37">
        <v>451</v>
      </c>
      <c r="S37">
        <v>712</v>
      </c>
      <c r="T37">
        <f t="shared" si="1"/>
        <v>4518.3440000000001</v>
      </c>
    </row>
    <row r="38" spans="1:20" x14ac:dyDescent="0.35">
      <c r="A38" s="11" t="s">
        <v>39</v>
      </c>
      <c r="B38" s="11" t="s">
        <v>1192</v>
      </c>
      <c r="C38">
        <v>4.7549999999999999</v>
      </c>
      <c r="D38">
        <v>2.3050000000000002</v>
      </c>
      <c r="E38">
        <v>69</v>
      </c>
      <c r="F38">
        <v>1.774</v>
      </c>
      <c r="G38">
        <v>613</v>
      </c>
      <c r="H38">
        <v>47</v>
      </c>
      <c r="I38">
        <v>140</v>
      </c>
      <c r="J38">
        <v>3.8479999999999999</v>
      </c>
      <c r="K38">
        <v>1.1619999999999999</v>
      </c>
      <c r="L38">
        <v>398</v>
      </c>
      <c r="M38">
        <v>509</v>
      </c>
      <c r="N38">
        <v>3.9039999999999999</v>
      </c>
      <c r="O38">
        <v>465</v>
      </c>
      <c r="P38">
        <v>522</v>
      </c>
      <c r="Q38">
        <v>360</v>
      </c>
      <c r="R38">
        <v>439</v>
      </c>
      <c r="S38">
        <v>779</v>
      </c>
      <c r="T38">
        <f t="shared" si="1"/>
        <v>4358.7479999999996</v>
      </c>
    </row>
    <row r="39" spans="1:20" x14ac:dyDescent="0.35">
      <c r="A39" s="11" t="s">
        <v>40</v>
      </c>
      <c r="B39" s="11" t="s">
        <v>1192</v>
      </c>
      <c r="C39">
        <v>5.0570000000000004</v>
      </c>
      <c r="D39">
        <v>2.363</v>
      </c>
      <c r="E39">
        <v>72</v>
      </c>
      <c r="F39">
        <v>1.873</v>
      </c>
      <c r="G39">
        <v>625</v>
      </c>
      <c r="H39">
        <v>59</v>
      </c>
      <c r="I39">
        <v>141</v>
      </c>
      <c r="J39">
        <v>4.1539999999999999</v>
      </c>
      <c r="K39">
        <v>1.1830000000000001</v>
      </c>
      <c r="L39">
        <v>415</v>
      </c>
      <c r="M39">
        <v>537</v>
      </c>
      <c r="N39">
        <v>4.3220000000000001</v>
      </c>
      <c r="O39">
        <v>512</v>
      </c>
      <c r="P39">
        <v>575</v>
      </c>
      <c r="Q39">
        <v>390</v>
      </c>
      <c r="R39">
        <v>468</v>
      </c>
      <c r="S39">
        <v>748</v>
      </c>
      <c r="T39">
        <f t="shared" si="1"/>
        <v>4560.9520000000002</v>
      </c>
    </row>
    <row r="40" spans="1:20" x14ac:dyDescent="0.35">
      <c r="A40" s="11" t="s">
        <v>41</v>
      </c>
      <c r="B40" s="11" t="s">
        <v>1192</v>
      </c>
      <c r="C40">
        <v>5.0789999999999997</v>
      </c>
      <c r="D40">
        <v>2.3889999999999998</v>
      </c>
      <c r="E40">
        <v>75</v>
      </c>
      <c r="F40">
        <v>1.8460000000000001</v>
      </c>
      <c r="G40">
        <v>633</v>
      </c>
      <c r="H40">
        <v>69</v>
      </c>
      <c r="I40">
        <v>144</v>
      </c>
      <c r="J40">
        <v>2.7090000000000001</v>
      </c>
      <c r="K40">
        <v>1.1060000000000001</v>
      </c>
      <c r="L40">
        <v>380</v>
      </c>
      <c r="M40">
        <v>531</v>
      </c>
      <c r="N40">
        <v>4.1710000000000003</v>
      </c>
      <c r="O40">
        <v>550</v>
      </c>
      <c r="P40">
        <v>607</v>
      </c>
      <c r="Q40">
        <v>384</v>
      </c>
      <c r="R40">
        <v>457</v>
      </c>
      <c r="S40">
        <v>812</v>
      </c>
      <c r="T40">
        <f t="shared" si="1"/>
        <v>4659.3</v>
      </c>
    </row>
    <row r="41" spans="1:20" x14ac:dyDescent="0.35">
      <c r="A41" s="11" t="s">
        <v>42</v>
      </c>
      <c r="B41" s="11" t="s">
        <v>1192</v>
      </c>
      <c r="C41">
        <v>5.3559999999999999</v>
      </c>
      <c r="D41">
        <v>2.6179999999999999</v>
      </c>
      <c r="E41">
        <v>15</v>
      </c>
      <c r="F41">
        <v>1.887</v>
      </c>
      <c r="G41">
        <v>661</v>
      </c>
      <c r="H41">
        <v>84</v>
      </c>
      <c r="I41">
        <v>162</v>
      </c>
      <c r="J41">
        <v>2.7890000000000001</v>
      </c>
      <c r="K41">
        <v>1.2230000000000001</v>
      </c>
      <c r="L41">
        <v>423</v>
      </c>
      <c r="M41">
        <v>598</v>
      </c>
      <c r="N41">
        <v>4.4930000000000003</v>
      </c>
      <c r="O41">
        <v>605</v>
      </c>
      <c r="P41">
        <v>618</v>
      </c>
      <c r="Q41">
        <v>352</v>
      </c>
      <c r="R41">
        <v>476</v>
      </c>
      <c r="S41">
        <v>738</v>
      </c>
      <c r="T41">
        <f t="shared" si="1"/>
        <v>4750.366</v>
      </c>
    </row>
    <row r="42" spans="1:20" x14ac:dyDescent="0.35">
      <c r="A42" s="11" t="s">
        <v>43</v>
      </c>
      <c r="B42" s="11" t="s">
        <v>1193</v>
      </c>
      <c r="C42">
        <v>4.8970000000000002</v>
      </c>
      <c r="D42">
        <v>2.379</v>
      </c>
      <c r="E42">
        <v>48</v>
      </c>
      <c r="F42">
        <v>1.768</v>
      </c>
      <c r="G42">
        <v>653</v>
      </c>
      <c r="H42">
        <v>73</v>
      </c>
      <c r="I42">
        <v>155</v>
      </c>
      <c r="J42">
        <v>2.403</v>
      </c>
      <c r="K42">
        <v>1.1339999999999999</v>
      </c>
      <c r="L42">
        <v>422</v>
      </c>
      <c r="M42">
        <v>473</v>
      </c>
      <c r="N42">
        <v>3.919</v>
      </c>
      <c r="O42">
        <v>532</v>
      </c>
      <c r="P42">
        <v>590</v>
      </c>
      <c r="Q42">
        <v>382</v>
      </c>
      <c r="R42">
        <v>429</v>
      </c>
      <c r="S42">
        <v>759</v>
      </c>
      <c r="T42">
        <f t="shared" si="1"/>
        <v>4532.5</v>
      </c>
    </row>
    <row r="43" spans="1:20" x14ac:dyDescent="0.35">
      <c r="A43" s="11" t="s">
        <v>44</v>
      </c>
      <c r="B43" s="11" t="s">
        <v>1193</v>
      </c>
      <c r="C43">
        <v>5.17</v>
      </c>
      <c r="D43">
        <v>2.4319999999999999</v>
      </c>
      <c r="E43">
        <v>61</v>
      </c>
      <c r="F43">
        <v>1.843</v>
      </c>
      <c r="G43">
        <v>656</v>
      </c>
      <c r="H43">
        <v>93</v>
      </c>
      <c r="I43">
        <v>156</v>
      </c>
      <c r="J43">
        <v>2.4750000000000001</v>
      </c>
      <c r="K43">
        <v>1.1679999999999999</v>
      </c>
      <c r="L43">
        <v>453</v>
      </c>
      <c r="M43">
        <v>506</v>
      </c>
      <c r="N43">
        <v>4.2709999999999999</v>
      </c>
      <c r="O43">
        <v>586</v>
      </c>
      <c r="P43">
        <v>617</v>
      </c>
      <c r="Q43">
        <v>413</v>
      </c>
      <c r="R43">
        <v>452</v>
      </c>
      <c r="S43">
        <v>784</v>
      </c>
      <c r="T43">
        <f t="shared" si="1"/>
        <v>4794.3590000000004</v>
      </c>
    </row>
    <row r="44" spans="1:20" x14ac:dyDescent="0.35">
      <c r="A44" s="11" t="s">
        <v>45</v>
      </c>
      <c r="B44" s="11" t="s">
        <v>1193</v>
      </c>
      <c r="C44">
        <v>5.15</v>
      </c>
      <c r="D44">
        <v>2.42</v>
      </c>
      <c r="E44">
        <v>71</v>
      </c>
      <c r="F44">
        <v>1.8879999999999999</v>
      </c>
      <c r="G44">
        <v>694</v>
      </c>
      <c r="H44">
        <v>105</v>
      </c>
      <c r="I44">
        <v>153</v>
      </c>
      <c r="J44">
        <v>2.4870000000000001</v>
      </c>
      <c r="K44">
        <v>1.762</v>
      </c>
      <c r="L44">
        <v>412</v>
      </c>
      <c r="M44">
        <v>470</v>
      </c>
      <c r="N44">
        <v>4.1230000000000002</v>
      </c>
      <c r="O44">
        <v>590</v>
      </c>
      <c r="P44">
        <v>616</v>
      </c>
      <c r="Q44">
        <v>406</v>
      </c>
      <c r="R44">
        <v>444</v>
      </c>
      <c r="S44">
        <v>209</v>
      </c>
      <c r="T44">
        <f t="shared" si="1"/>
        <v>4187.83</v>
      </c>
    </row>
    <row r="45" spans="1:20" x14ac:dyDescent="0.35">
      <c r="A45" s="11" t="s">
        <v>46</v>
      </c>
      <c r="B45" s="11" t="s">
        <v>1193</v>
      </c>
      <c r="C45">
        <v>5.1879999999999997</v>
      </c>
      <c r="D45">
        <v>2.7149999999999999</v>
      </c>
      <c r="E45">
        <v>84</v>
      </c>
      <c r="F45">
        <v>1.978</v>
      </c>
      <c r="G45">
        <v>703</v>
      </c>
      <c r="H45">
        <v>131</v>
      </c>
      <c r="I45">
        <v>167</v>
      </c>
      <c r="J45">
        <v>2.6030000000000002</v>
      </c>
      <c r="K45">
        <v>1.9339999999999999</v>
      </c>
      <c r="L45">
        <v>455</v>
      </c>
      <c r="M45">
        <v>571</v>
      </c>
      <c r="N45">
        <v>4.6520000000000001</v>
      </c>
      <c r="O45">
        <v>677</v>
      </c>
      <c r="P45">
        <v>671</v>
      </c>
      <c r="Q45">
        <v>400</v>
      </c>
      <c r="R45">
        <v>485</v>
      </c>
      <c r="S45">
        <v>757</v>
      </c>
      <c r="T45">
        <f t="shared" si="1"/>
        <v>5120.07</v>
      </c>
    </row>
    <row r="46" spans="1:20" x14ac:dyDescent="0.35">
      <c r="A46" s="11" t="s">
        <v>47</v>
      </c>
      <c r="B46" s="11" t="s">
        <v>1194</v>
      </c>
      <c r="C46">
        <v>4.8849999999999998</v>
      </c>
      <c r="D46">
        <v>2.4950000000000001</v>
      </c>
      <c r="E46">
        <v>81</v>
      </c>
      <c r="F46">
        <v>1.964</v>
      </c>
      <c r="G46">
        <v>695</v>
      </c>
      <c r="H46">
        <v>116</v>
      </c>
      <c r="I46">
        <v>171</v>
      </c>
      <c r="J46">
        <v>2.375</v>
      </c>
      <c r="K46">
        <v>1.9039999999999999</v>
      </c>
      <c r="L46">
        <v>454</v>
      </c>
      <c r="M46">
        <v>471</v>
      </c>
      <c r="N46">
        <v>4.2949999999999999</v>
      </c>
      <c r="O46">
        <v>595</v>
      </c>
      <c r="P46">
        <v>697</v>
      </c>
      <c r="Q46">
        <v>418</v>
      </c>
      <c r="R46">
        <v>425</v>
      </c>
      <c r="S46">
        <v>615</v>
      </c>
      <c r="T46">
        <f t="shared" si="1"/>
        <v>4755.9179999999997</v>
      </c>
    </row>
    <row r="47" spans="1:20" x14ac:dyDescent="0.35">
      <c r="A47" s="11" t="s">
        <v>48</v>
      </c>
      <c r="B47" s="11" t="s">
        <v>1194</v>
      </c>
      <c r="C47">
        <v>5.3330000000000002</v>
      </c>
      <c r="D47">
        <v>2.84</v>
      </c>
      <c r="E47">
        <v>87</v>
      </c>
      <c r="F47">
        <v>2.1259999999999999</v>
      </c>
      <c r="G47">
        <v>693</v>
      </c>
      <c r="H47">
        <v>137</v>
      </c>
      <c r="I47">
        <v>173</v>
      </c>
      <c r="J47">
        <v>2.585</v>
      </c>
      <c r="K47">
        <v>1.9339999999999999</v>
      </c>
      <c r="L47">
        <v>519</v>
      </c>
      <c r="M47">
        <v>517</v>
      </c>
      <c r="N47">
        <v>4.5350000000000001</v>
      </c>
      <c r="O47">
        <v>670</v>
      </c>
      <c r="P47">
        <v>759</v>
      </c>
      <c r="Q47">
        <v>467</v>
      </c>
      <c r="R47">
        <v>474</v>
      </c>
      <c r="S47">
        <v>643</v>
      </c>
      <c r="T47">
        <f t="shared" si="1"/>
        <v>5158.3530000000001</v>
      </c>
    </row>
    <row r="48" spans="1:20" x14ac:dyDescent="0.35">
      <c r="A48" s="11" t="s">
        <v>49</v>
      </c>
      <c r="B48" s="11" t="s">
        <v>1194</v>
      </c>
      <c r="C48">
        <v>5.3019999999999996</v>
      </c>
      <c r="D48">
        <v>2.8330000000000002</v>
      </c>
      <c r="E48">
        <v>95</v>
      </c>
      <c r="F48">
        <v>2.105</v>
      </c>
      <c r="G48">
        <v>717</v>
      </c>
      <c r="H48">
        <v>149</v>
      </c>
      <c r="I48">
        <v>168</v>
      </c>
      <c r="J48">
        <v>2.5579999999999998</v>
      </c>
      <c r="K48">
        <v>1.833</v>
      </c>
      <c r="L48">
        <v>465</v>
      </c>
      <c r="M48">
        <v>509</v>
      </c>
      <c r="N48">
        <v>4.4909999999999997</v>
      </c>
      <c r="O48">
        <v>683</v>
      </c>
      <c r="P48">
        <v>739</v>
      </c>
      <c r="Q48">
        <v>448</v>
      </c>
      <c r="R48">
        <v>456</v>
      </c>
      <c r="S48">
        <v>579</v>
      </c>
      <c r="T48">
        <f t="shared" si="1"/>
        <v>5027.1220000000003</v>
      </c>
    </row>
    <row r="49" spans="1:20" x14ac:dyDescent="0.35">
      <c r="A49" s="11" t="s">
        <v>50</v>
      </c>
      <c r="B49" s="11" t="s">
        <v>1194</v>
      </c>
      <c r="C49">
        <v>5.3330000000000002</v>
      </c>
      <c r="D49">
        <v>3.157</v>
      </c>
      <c r="E49">
        <v>104</v>
      </c>
      <c r="F49">
        <v>2.1909999999999998</v>
      </c>
      <c r="G49">
        <v>727</v>
      </c>
      <c r="H49">
        <v>171</v>
      </c>
      <c r="I49">
        <v>201</v>
      </c>
      <c r="J49">
        <v>2.645</v>
      </c>
      <c r="K49">
        <v>1.998</v>
      </c>
      <c r="L49">
        <v>530</v>
      </c>
      <c r="M49">
        <v>571</v>
      </c>
      <c r="N49">
        <v>4.9530000000000003</v>
      </c>
      <c r="O49">
        <v>759</v>
      </c>
      <c r="P49">
        <v>768</v>
      </c>
      <c r="Q49">
        <v>443</v>
      </c>
      <c r="R49">
        <v>514</v>
      </c>
      <c r="S49">
        <v>602</v>
      </c>
      <c r="T49">
        <f t="shared" si="1"/>
        <v>5410.277</v>
      </c>
    </row>
    <row r="50" spans="1:20" x14ac:dyDescent="0.35">
      <c r="A50" s="11" t="s">
        <v>51</v>
      </c>
      <c r="B50" s="11" t="s">
        <v>1195</v>
      </c>
      <c r="C50">
        <v>6.335</v>
      </c>
      <c r="D50">
        <v>2.9550000000000001</v>
      </c>
      <c r="E50">
        <v>102</v>
      </c>
      <c r="F50">
        <v>2.16</v>
      </c>
      <c r="G50">
        <v>734</v>
      </c>
      <c r="H50">
        <v>142</v>
      </c>
      <c r="I50">
        <v>197</v>
      </c>
      <c r="J50">
        <v>2.4750000000000001</v>
      </c>
      <c r="K50">
        <v>1.972</v>
      </c>
      <c r="L50">
        <v>514</v>
      </c>
      <c r="M50">
        <v>500</v>
      </c>
      <c r="N50">
        <v>4.7649999999999997</v>
      </c>
      <c r="O50">
        <v>680</v>
      </c>
      <c r="P50">
        <v>884</v>
      </c>
      <c r="Q50">
        <v>462</v>
      </c>
      <c r="R50">
        <v>488</v>
      </c>
      <c r="S50">
        <v>663</v>
      </c>
      <c r="T50">
        <f t="shared" si="1"/>
        <v>5386.6620000000003</v>
      </c>
    </row>
    <row r="51" spans="1:20" x14ac:dyDescent="0.35">
      <c r="A51" s="11" t="s">
        <v>52</v>
      </c>
      <c r="B51" s="11" t="s">
        <v>1195</v>
      </c>
      <c r="C51">
        <v>6.6369999999999996</v>
      </c>
      <c r="D51">
        <v>3.012</v>
      </c>
      <c r="E51">
        <v>110</v>
      </c>
      <c r="F51">
        <v>2.2570000000000001</v>
      </c>
      <c r="G51">
        <v>715</v>
      </c>
      <c r="H51">
        <v>171</v>
      </c>
      <c r="I51">
        <v>192</v>
      </c>
      <c r="J51">
        <v>2.605</v>
      </c>
      <c r="K51">
        <v>1.95</v>
      </c>
      <c r="L51">
        <v>557</v>
      </c>
      <c r="M51">
        <v>505</v>
      </c>
      <c r="N51">
        <v>4.99</v>
      </c>
      <c r="O51">
        <v>759</v>
      </c>
      <c r="P51">
        <v>842</v>
      </c>
      <c r="Q51">
        <v>509</v>
      </c>
      <c r="R51">
        <v>529</v>
      </c>
      <c r="S51">
        <v>633</v>
      </c>
      <c r="T51">
        <f t="shared" si="1"/>
        <v>5543.451</v>
      </c>
    </row>
    <row r="52" spans="1:20" x14ac:dyDescent="0.35">
      <c r="A52" s="11" t="s">
        <v>53</v>
      </c>
      <c r="B52" s="11" t="s">
        <v>1195</v>
      </c>
      <c r="C52">
        <v>6.8289999999999997</v>
      </c>
      <c r="D52">
        <v>3.0059999999999998</v>
      </c>
      <c r="E52">
        <v>122</v>
      </c>
      <c r="F52">
        <v>2.222</v>
      </c>
      <c r="G52">
        <v>806</v>
      </c>
      <c r="H52">
        <v>185</v>
      </c>
      <c r="I52">
        <v>193</v>
      </c>
      <c r="J52">
        <v>2.7069999999999999</v>
      </c>
      <c r="K52">
        <v>1.8129999999999999</v>
      </c>
      <c r="L52">
        <v>524</v>
      </c>
      <c r="M52">
        <v>534</v>
      </c>
      <c r="N52">
        <v>5.1159999999999997</v>
      </c>
      <c r="O52">
        <v>808</v>
      </c>
      <c r="P52">
        <v>822</v>
      </c>
      <c r="Q52">
        <v>492</v>
      </c>
      <c r="R52">
        <v>535</v>
      </c>
      <c r="S52">
        <v>722</v>
      </c>
      <c r="T52">
        <f t="shared" si="1"/>
        <v>5764.6930000000002</v>
      </c>
    </row>
    <row r="53" spans="1:20" x14ac:dyDescent="0.35">
      <c r="A53" s="11" t="s">
        <v>54</v>
      </c>
      <c r="B53" s="11" t="s">
        <v>1195</v>
      </c>
      <c r="C53">
        <v>7.5890000000000004</v>
      </c>
      <c r="D53">
        <v>3.4710000000000001</v>
      </c>
      <c r="E53">
        <v>131</v>
      </c>
      <c r="F53">
        <v>2.4089999999999998</v>
      </c>
      <c r="G53">
        <v>803</v>
      </c>
      <c r="H53">
        <v>221</v>
      </c>
      <c r="I53">
        <v>208</v>
      </c>
      <c r="J53">
        <v>2.774</v>
      </c>
      <c r="K53">
        <v>2.0680000000000001</v>
      </c>
      <c r="L53">
        <v>601</v>
      </c>
      <c r="M53">
        <v>621</v>
      </c>
      <c r="N53">
        <v>6.0469999999999997</v>
      </c>
      <c r="O53">
        <v>892</v>
      </c>
      <c r="P53">
        <v>889</v>
      </c>
      <c r="Q53">
        <v>506</v>
      </c>
      <c r="R53">
        <v>595</v>
      </c>
      <c r="S53">
        <v>679</v>
      </c>
      <c r="T53">
        <f t="shared" si="1"/>
        <v>6170.3580000000002</v>
      </c>
    </row>
    <row r="54" spans="1:20" x14ac:dyDescent="0.35">
      <c r="A54" s="11" t="s">
        <v>55</v>
      </c>
      <c r="B54" s="11" t="s">
        <v>1196</v>
      </c>
      <c r="C54">
        <v>7.39</v>
      </c>
      <c r="D54">
        <v>3.2410000000000001</v>
      </c>
      <c r="E54">
        <v>124</v>
      </c>
      <c r="F54">
        <v>2.379</v>
      </c>
      <c r="G54">
        <v>791</v>
      </c>
      <c r="H54">
        <v>184</v>
      </c>
      <c r="I54">
        <v>213</v>
      </c>
      <c r="J54">
        <v>2.677</v>
      </c>
      <c r="K54">
        <v>2.0179999999999998</v>
      </c>
      <c r="L54">
        <v>592</v>
      </c>
      <c r="M54">
        <v>552</v>
      </c>
      <c r="N54">
        <v>5.8529999999999998</v>
      </c>
      <c r="O54">
        <v>848</v>
      </c>
      <c r="P54">
        <v>895</v>
      </c>
      <c r="Q54">
        <v>538</v>
      </c>
      <c r="R54">
        <v>587</v>
      </c>
      <c r="S54">
        <v>730</v>
      </c>
      <c r="T54">
        <f t="shared" si="1"/>
        <v>6077.558</v>
      </c>
    </row>
    <row r="55" spans="1:20" x14ac:dyDescent="0.35">
      <c r="A55" s="11" t="s">
        <v>56</v>
      </c>
      <c r="B55" s="11" t="s">
        <v>1196</v>
      </c>
      <c r="C55">
        <v>7.7670000000000003</v>
      </c>
      <c r="D55">
        <v>3.3220000000000001</v>
      </c>
      <c r="E55">
        <v>124</v>
      </c>
      <c r="F55">
        <v>2.4900000000000002</v>
      </c>
      <c r="G55">
        <v>789</v>
      </c>
      <c r="H55">
        <v>243</v>
      </c>
      <c r="I55">
        <v>212</v>
      </c>
      <c r="J55">
        <v>2.8420000000000001</v>
      </c>
      <c r="K55">
        <v>2.008</v>
      </c>
      <c r="L55">
        <v>624</v>
      </c>
      <c r="M55">
        <v>576</v>
      </c>
      <c r="N55">
        <v>6.0780000000000003</v>
      </c>
      <c r="O55">
        <v>909</v>
      </c>
      <c r="P55">
        <v>944</v>
      </c>
      <c r="Q55">
        <v>581</v>
      </c>
      <c r="R55">
        <v>610</v>
      </c>
      <c r="S55">
        <v>709</v>
      </c>
      <c r="T55">
        <f t="shared" si="1"/>
        <v>6345.5069999999996</v>
      </c>
    </row>
    <row r="56" spans="1:20" x14ac:dyDescent="0.35">
      <c r="A56" s="11" t="s">
        <v>57</v>
      </c>
      <c r="B56" s="11" t="s">
        <v>1196</v>
      </c>
      <c r="C56">
        <v>7.6559999999999997</v>
      </c>
      <c r="D56">
        <v>3.242</v>
      </c>
      <c r="E56">
        <v>151</v>
      </c>
      <c r="F56">
        <v>2.3929999999999998</v>
      </c>
      <c r="G56">
        <v>824</v>
      </c>
      <c r="H56">
        <v>267</v>
      </c>
      <c r="I56">
        <v>211</v>
      </c>
      <c r="J56">
        <v>2.7669999999999999</v>
      </c>
      <c r="K56">
        <v>1.837</v>
      </c>
      <c r="L56">
        <v>588</v>
      </c>
      <c r="M56">
        <v>545</v>
      </c>
      <c r="N56">
        <v>5.92</v>
      </c>
      <c r="O56">
        <v>921</v>
      </c>
      <c r="P56">
        <v>907</v>
      </c>
      <c r="Q56">
        <v>545</v>
      </c>
      <c r="R56">
        <v>610</v>
      </c>
      <c r="S56">
        <v>802</v>
      </c>
      <c r="T56">
        <f t="shared" si="1"/>
        <v>6394.8150000000005</v>
      </c>
    </row>
    <row r="57" spans="1:20" x14ac:dyDescent="0.35">
      <c r="A57" s="11" t="s">
        <v>58</v>
      </c>
      <c r="B57" s="11" t="s">
        <v>1196</v>
      </c>
      <c r="C57">
        <v>7.7649999999999997</v>
      </c>
      <c r="D57">
        <v>3.7959999999999998</v>
      </c>
      <c r="E57">
        <v>165</v>
      </c>
      <c r="F57">
        <v>2.5609999999999999</v>
      </c>
      <c r="G57">
        <v>814</v>
      </c>
      <c r="H57">
        <v>338</v>
      </c>
      <c r="I57">
        <v>223</v>
      </c>
      <c r="J57">
        <v>2.8410000000000002</v>
      </c>
      <c r="K57">
        <v>2.0710000000000002</v>
      </c>
      <c r="L57">
        <v>651</v>
      </c>
      <c r="M57">
        <v>617</v>
      </c>
      <c r="N57">
        <v>6.5069999999999997</v>
      </c>
      <c r="O57">
        <v>1.0469999999999999</v>
      </c>
      <c r="P57">
        <v>978</v>
      </c>
      <c r="Q57">
        <v>549</v>
      </c>
      <c r="R57">
        <v>642</v>
      </c>
      <c r="S57">
        <v>741</v>
      </c>
      <c r="T57">
        <f t="shared" si="1"/>
        <v>5744.5879999999997</v>
      </c>
    </row>
    <row r="58" spans="1:20" x14ac:dyDescent="0.35">
      <c r="A58" s="11" t="s">
        <v>59</v>
      </c>
      <c r="B58" s="11" t="s">
        <v>1197</v>
      </c>
      <c r="C58">
        <v>7.5350000000000001</v>
      </c>
      <c r="D58">
        <v>3.516</v>
      </c>
      <c r="E58">
        <v>160</v>
      </c>
      <c r="F58">
        <v>2.4929999999999999</v>
      </c>
      <c r="G58">
        <v>831</v>
      </c>
      <c r="H58">
        <v>281</v>
      </c>
      <c r="I58">
        <v>232</v>
      </c>
      <c r="J58">
        <v>2.6320000000000001</v>
      </c>
      <c r="K58">
        <v>1.976</v>
      </c>
      <c r="L58">
        <v>662</v>
      </c>
      <c r="M58">
        <v>554</v>
      </c>
      <c r="N58">
        <v>6.125</v>
      </c>
      <c r="O58">
        <v>974</v>
      </c>
      <c r="P58">
        <v>993</v>
      </c>
      <c r="Q58">
        <v>576</v>
      </c>
      <c r="R58">
        <v>614</v>
      </c>
      <c r="S58">
        <v>779</v>
      </c>
      <c r="T58">
        <f t="shared" si="1"/>
        <v>6680.277</v>
      </c>
    </row>
    <row r="59" spans="1:20" x14ac:dyDescent="0.35">
      <c r="A59" s="11" t="s">
        <v>60</v>
      </c>
      <c r="B59" s="11" t="s">
        <v>1197</v>
      </c>
      <c r="C59">
        <v>7.9790000000000001</v>
      </c>
      <c r="D59">
        <v>3.65</v>
      </c>
      <c r="E59">
        <v>177</v>
      </c>
      <c r="F59">
        <v>2.6309999999999998</v>
      </c>
      <c r="G59">
        <v>818</v>
      </c>
      <c r="H59">
        <v>336</v>
      </c>
      <c r="I59">
        <v>230</v>
      </c>
      <c r="J59">
        <v>2.84</v>
      </c>
      <c r="K59">
        <v>1.9890000000000001</v>
      </c>
      <c r="L59">
        <v>705</v>
      </c>
      <c r="M59">
        <v>573</v>
      </c>
      <c r="N59">
        <v>6.3159999999999998</v>
      </c>
      <c r="O59">
        <v>1.099</v>
      </c>
      <c r="P59">
        <v>1.087</v>
      </c>
      <c r="Q59">
        <v>620</v>
      </c>
      <c r="R59">
        <v>653</v>
      </c>
      <c r="S59">
        <v>826</v>
      </c>
      <c r="T59">
        <f t="shared" si="1"/>
        <v>4965.5910000000003</v>
      </c>
    </row>
    <row r="60" spans="1:20" x14ac:dyDescent="0.35">
      <c r="A60" s="11" t="s">
        <v>61</v>
      </c>
      <c r="B60" s="11" t="s">
        <v>1197</v>
      </c>
      <c r="C60">
        <v>8.0760000000000005</v>
      </c>
      <c r="D60">
        <v>3.5870000000000002</v>
      </c>
      <c r="E60">
        <v>192</v>
      </c>
      <c r="F60">
        <v>2.7069999999999999</v>
      </c>
      <c r="G60">
        <v>852</v>
      </c>
      <c r="H60">
        <v>396</v>
      </c>
      <c r="I60">
        <v>229</v>
      </c>
      <c r="J60">
        <v>2.851</v>
      </c>
      <c r="K60">
        <v>1.8919999999999999</v>
      </c>
      <c r="L60">
        <v>681</v>
      </c>
      <c r="M60">
        <v>561</v>
      </c>
      <c r="N60">
        <v>6.2720000000000002</v>
      </c>
      <c r="O60">
        <v>1.1279999999999999</v>
      </c>
      <c r="P60">
        <v>1.0940000000000001</v>
      </c>
      <c r="Q60">
        <v>605</v>
      </c>
      <c r="R60">
        <v>648</v>
      </c>
      <c r="S60">
        <v>879</v>
      </c>
      <c r="T60">
        <f t="shared" si="1"/>
        <v>5070.607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6A4E-7E2A-4A7A-A262-C2F1E9DBDE4B}">
  <dimension ref="A1:D67"/>
  <sheetViews>
    <sheetView workbookViewId="0">
      <selection activeCell="M22" sqref="M22"/>
    </sheetView>
  </sheetViews>
  <sheetFormatPr baseColWidth="10" defaultRowHeight="14.5" x14ac:dyDescent="0.35"/>
  <cols>
    <col min="4" max="4" width="17.1796875" customWidth="1"/>
  </cols>
  <sheetData>
    <row r="1" spans="1:4" x14ac:dyDescent="0.35">
      <c r="A1" s="53" t="s">
        <v>618</v>
      </c>
      <c r="B1" s="53" t="s">
        <v>1205</v>
      </c>
      <c r="C1" t="s">
        <v>1175</v>
      </c>
      <c r="D1" t="s">
        <v>1198</v>
      </c>
    </row>
    <row r="2" spans="1:4" x14ac:dyDescent="0.35">
      <c r="A2" s="54" t="s">
        <v>1183</v>
      </c>
      <c r="B2" s="54" t="s">
        <v>3</v>
      </c>
      <c r="C2">
        <v>3223.5839999999998</v>
      </c>
      <c r="D2">
        <v>1</v>
      </c>
    </row>
    <row r="3" spans="1:4" x14ac:dyDescent="0.35">
      <c r="A3" s="55" t="s">
        <v>1183</v>
      </c>
      <c r="B3" s="55" t="s">
        <v>4</v>
      </c>
      <c r="C3">
        <v>3472.9369999999999</v>
      </c>
      <c r="D3">
        <v>2</v>
      </c>
    </row>
    <row r="4" spans="1:4" x14ac:dyDescent="0.35">
      <c r="A4" s="54" t="s">
        <v>1183</v>
      </c>
      <c r="B4" s="54" t="s">
        <v>5</v>
      </c>
      <c r="C4">
        <v>3369.4650000000001</v>
      </c>
      <c r="D4">
        <v>3</v>
      </c>
    </row>
    <row r="5" spans="1:4" x14ac:dyDescent="0.35">
      <c r="A5" s="55" t="s">
        <v>1183</v>
      </c>
      <c r="B5" s="55" t="s">
        <v>6</v>
      </c>
      <c r="C5">
        <v>3601.0940000000001</v>
      </c>
      <c r="D5">
        <v>4</v>
      </c>
    </row>
    <row r="6" spans="1:4" x14ac:dyDescent="0.35">
      <c r="A6" s="54" t="s">
        <v>1184</v>
      </c>
      <c r="B6" s="54" t="s">
        <v>7</v>
      </c>
      <c r="C6">
        <v>3627.9300000000003</v>
      </c>
      <c r="D6">
        <v>5</v>
      </c>
    </row>
    <row r="7" spans="1:4" x14ac:dyDescent="0.35">
      <c r="A7" s="55" t="s">
        <v>1184</v>
      </c>
      <c r="B7" s="55" t="s">
        <v>8</v>
      </c>
      <c r="C7">
        <v>3789.5219999999999</v>
      </c>
      <c r="D7">
        <v>6</v>
      </c>
    </row>
    <row r="8" spans="1:4" x14ac:dyDescent="0.35">
      <c r="A8" s="54" t="s">
        <v>1184</v>
      </c>
      <c r="B8" s="54" t="s">
        <v>9</v>
      </c>
      <c r="C8">
        <v>3793.3879999999999</v>
      </c>
      <c r="D8">
        <v>7</v>
      </c>
    </row>
    <row r="9" spans="1:4" x14ac:dyDescent="0.35">
      <c r="A9" s="55" t="s">
        <v>1184</v>
      </c>
      <c r="B9" s="55" t="s">
        <v>10</v>
      </c>
      <c r="C9">
        <v>3092.6509999999998</v>
      </c>
      <c r="D9">
        <v>8</v>
      </c>
    </row>
    <row r="10" spans="1:4" x14ac:dyDescent="0.35">
      <c r="A10" s="54" t="s">
        <v>1185</v>
      </c>
      <c r="B10" s="54" t="s">
        <v>11</v>
      </c>
      <c r="C10">
        <v>3167.471</v>
      </c>
      <c r="D10">
        <v>9</v>
      </c>
    </row>
    <row r="11" spans="1:4" x14ac:dyDescent="0.35">
      <c r="A11" s="55" t="s">
        <v>1185</v>
      </c>
      <c r="B11" s="55" t="s">
        <v>12</v>
      </c>
      <c r="C11">
        <v>3291.1210000000001</v>
      </c>
      <c r="D11">
        <v>10</v>
      </c>
    </row>
    <row r="12" spans="1:4" x14ac:dyDescent="0.35">
      <c r="A12" s="54" t="s">
        <v>1185</v>
      </c>
      <c r="B12" s="54" t="s">
        <v>13</v>
      </c>
      <c r="C12">
        <v>3312.029</v>
      </c>
      <c r="D12">
        <v>11</v>
      </c>
    </row>
    <row r="13" spans="1:4" x14ac:dyDescent="0.35">
      <c r="A13" s="55" t="s">
        <v>1185</v>
      </c>
      <c r="B13" s="55" t="s">
        <v>14</v>
      </c>
      <c r="C13">
        <v>2360.7350000000001</v>
      </c>
      <c r="D13">
        <v>12</v>
      </c>
    </row>
    <row r="14" spans="1:4" x14ac:dyDescent="0.35">
      <c r="A14" s="54" t="s">
        <v>1186</v>
      </c>
      <c r="B14" s="54" t="s">
        <v>15</v>
      </c>
      <c r="C14">
        <v>2895.9360000000001</v>
      </c>
      <c r="D14">
        <v>13</v>
      </c>
    </row>
    <row r="15" spans="1:4" x14ac:dyDescent="0.35">
      <c r="A15" s="55" t="s">
        <v>1186</v>
      </c>
      <c r="B15" s="55" t="s">
        <v>16</v>
      </c>
      <c r="C15">
        <v>3115.0299999999997</v>
      </c>
      <c r="D15">
        <v>14</v>
      </c>
    </row>
    <row r="16" spans="1:4" x14ac:dyDescent="0.35">
      <c r="A16" s="54" t="s">
        <v>1186</v>
      </c>
      <c r="B16" s="54" t="s">
        <v>17</v>
      </c>
      <c r="C16">
        <v>4035.8679999999999</v>
      </c>
      <c r="D16">
        <v>15</v>
      </c>
    </row>
    <row r="17" spans="1:4" x14ac:dyDescent="0.35">
      <c r="A17" s="55" t="s">
        <v>1186</v>
      </c>
      <c r="B17" s="55" t="s">
        <v>18</v>
      </c>
      <c r="C17">
        <v>2831.4769999999999</v>
      </c>
      <c r="D17">
        <v>16</v>
      </c>
    </row>
    <row r="18" spans="1:4" x14ac:dyDescent="0.35">
      <c r="A18" s="54" t="s">
        <v>1187</v>
      </c>
      <c r="B18" s="54" t="s">
        <v>19</v>
      </c>
      <c r="C18">
        <v>3900.4079999999999</v>
      </c>
      <c r="D18">
        <v>17</v>
      </c>
    </row>
    <row r="19" spans="1:4" x14ac:dyDescent="0.35">
      <c r="A19" s="55" t="s">
        <v>1187</v>
      </c>
      <c r="B19" s="55" t="s">
        <v>20</v>
      </c>
      <c r="C19">
        <v>3016.83</v>
      </c>
      <c r="D19">
        <v>18</v>
      </c>
    </row>
    <row r="20" spans="1:4" x14ac:dyDescent="0.35">
      <c r="A20" s="54" t="s">
        <v>1187</v>
      </c>
      <c r="B20" s="54" t="s">
        <v>21</v>
      </c>
      <c r="C20">
        <v>4165.1149999999998</v>
      </c>
      <c r="D20">
        <v>19</v>
      </c>
    </row>
    <row r="21" spans="1:4" x14ac:dyDescent="0.35">
      <c r="A21" s="55" t="s">
        <v>1187</v>
      </c>
      <c r="B21" s="55" t="s">
        <v>22</v>
      </c>
      <c r="C21">
        <v>2911.9210000000003</v>
      </c>
      <c r="D21">
        <v>20</v>
      </c>
    </row>
    <row r="22" spans="1:4" x14ac:dyDescent="0.35">
      <c r="A22" s="54" t="s">
        <v>1188</v>
      </c>
      <c r="B22" s="54" t="s">
        <v>23</v>
      </c>
      <c r="C22">
        <v>3185.0740000000001</v>
      </c>
      <c r="D22">
        <v>21</v>
      </c>
    </row>
    <row r="23" spans="1:4" x14ac:dyDescent="0.35">
      <c r="A23" s="55" t="s">
        <v>1188</v>
      </c>
      <c r="B23" s="55" t="s">
        <v>24</v>
      </c>
      <c r="C23">
        <v>3265.3599999999997</v>
      </c>
      <c r="D23">
        <v>22</v>
      </c>
    </row>
    <row r="24" spans="1:4" x14ac:dyDescent="0.35">
      <c r="A24" s="54" t="s">
        <v>1188</v>
      </c>
      <c r="B24" s="54" t="s">
        <v>25</v>
      </c>
      <c r="C24">
        <v>4256.2119999999995</v>
      </c>
      <c r="D24">
        <v>23</v>
      </c>
    </row>
    <row r="25" spans="1:4" x14ac:dyDescent="0.35">
      <c r="A25" s="55" t="s">
        <v>1188</v>
      </c>
      <c r="B25" s="55" t="s">
        <v>26</v>
      </c>
      <c r="C25">
        <v>3411.14</v>
      </c>
      <c r="D25">
        <v>24</v>
      </c>
    </row>
    <row r="26" spans="1:4" x14ac:dyDescent="0.35">
      <c r="A26" s="54" t="s">
        <v>1189</v>
      </c>
      <c r="B26" s="54" t="s">
        <v>27</v>
      </c>
      <c r="C26">
        <v>3494.1019999999999</v>
      </c>
      <c r="D26">
        <v>25</v>
      </c>
    </row>
    <row r="27" spans="1:4" x14ac:dyDescent="0.35">
      <c r="A27" s="55" t="s">
        <v>1189</v>
      </c>
      <c r="B27" s="55" t="s">
        <v>28</v>
      </c>
      <c r="C27">
        <v>3692.1639999999998</v>
      </c>
      <c r="D27">
        <v>26</v>
      </c>
    </row>
    <row r="28" spans="1:4" x14ac:dyDescent="0.35">
      <c r="A28" s="54" t="s">
        <v>1189</v>
      </c>
      <c r="B28" s="54" t="s">
        <v>29</v>
      </c>
      <c r="C28">
        <v>3714.1660000000002</v>
      </c>
      <c r="D28">
        <v>27</v>
      </c>
    </row>
    <row r="29" spans="1:4" x14ac:dyDescent="0.35">
      <c r="A29" s="55" t="s">
        <v>1189</v>
      </c>
      <c r="B29" s="55" t="s">
        <v>30</v>
      </c>
      <c r="C29">
        <v>3807.252</v>
      </c>
      <c r="D29">
        <v>28</v>
      </c>
    </row>
    <row r="30" spans="1:4" x14ac:dyDescent="0.35">
      <c r="A30" s="54" t="s">
        <v>1190</v>
      </c>
      <c r="B30" s="54" t="s">
        <v>31</v>
      </c>
      <c r="C30">
        <v>3889.8969999999999</v>
      </c>
      <c r="D30">
        <v>29</v>
      </c>
    </row>
    <row r="31" spans="1:4" x14ac:dyDescent="0.35">
      <c r="A31" s="55" t="s">
        <v>1190</v>
      </c>
      <c r="B31" s="55" t="s">
        <v>32</v>
      </c>
      <c r="C31">
        <v>4010.0519999999997</v>
      </c>
      <c r="D31">
        <v>30</v>
      </c>
    </row>
    <row r="32" spans="1:4" x14ac:dyDescent="0.35">
      <c r="A32" s="54" t="s">
        <v>1190</v>
      </c>
      <c r="B32" s="54" t="s">
        <v>33</v>
      </c>
      <c r="C32">
        <v>3947.6409999999996</v>
      </c>
      <c r="D32">
        <v>31</v>
      </c>
    </row>
    <row r="33" spans="1:4" x14ac:dyDescent="0.35">
      <c r="A33" s="55" t="s">
        <v>1190</v>
      </c>
      <c r="B33" s="55" t="s">
        <v>34</v>
      </c>
      <c r="C33">
        <v>4314.2849999999999</v>
      </c>
      <c r="D33">
        <v>32</v>
      </c>
    </row>
    <row r="34" spans="1:4" x14ac:dyDescent="0.35">
      <c r="A34" s="54" t="s">
        <v>1191</v>
      </c>
      <c r="B34" s="54" t="s">
        <v>35</v>
      </c>
      <c r="C34">
        <v>4375.1080000000002</v>
      </c>
      <c r="D34">
        <v>33</v>
      </c>
    </row>
    <row r="35" spans="1:4" x14ac:dyDescent="0.35">
      <c r="A35" s="55" t="s">
        <v>1191</v>
      </c>
      <c r="B35" s="55" t="s">
        <v>36</v>
      </c>
      <c r="C35">
        <v>4398.5460000000003</v>
      </c>
      <c r="D35">
        <v>34</v>
      </c>
    </row>
    <row r="36" spans="1:4" x14ac:dyDescent="0.35">
      <c r="A36" s="54" t="s">
        <v>1191</v>
      </c>
      <c r="B36" s="54" t="s">
        <v>37</v>
      </c>
      <c r="C36">
        <v>4257.6869999999999</v>
      </c>
      <c r="D36">
        <v>35</v>
      </c>
    </row>
    <row r="37" spans="1:4" x14ac:dyDescent="0.35">
      <c r="A37" s="55" t="s">
        <v>1191</v>
      </c>
      <c r="B37" s="55" t="s">
        <v>38</v>
      </c>
      <c r="C37">
        <v>4518.3440000000001</v>
      </c>
      <c r="D37">
        <v>36</v>
      </c>
    </row>
    <row r="38" spans="1:4" x14ac:dyDescent="0.35">
      <c r="A38" s="54" t="s">
        <v>1192</v>
      </c>
      <c r="B38" s="54" t="s">
        <v>39</v>
      </c>
      <c r="C38">
        <v>4358.7479999999996</v>
      </c>
      <c r="D38">
        <v>37</v>
      </c>
    </row>
    <row r="39" spans="1:4" x14ac:dyDescent="0.35">
      <c r="A39" s="55" t="s">
        <v>1192</v>
      </c>
      <c r="B39" s="55" t="s">
        <v>40</v>
      </c>
      <c r="C39">
        <v>4560.9520000000002</v>
      </c>
      <c r="D39">
        <v>38</v>
      </c>
    </row>
    <row r="40" spans="1:4" x14ac:dyDescent="0.35">
      <c r="A40" s="54" t="s">
        <v>1192</v>
      </c>
      <c r="B40" s="54" t="s">
        <v>41</v>
      </c>
      <c r="C40">
        <v>4659.3</v>
      </c>
      <c r="D40">
        <v>39</v>
      </c>
    </row>
    <row r="41" spans="1:4" x14ac:dyDescent="0.35">
      <c r="A41" s="55" t="s">
        <v>1192</v>
      </c>
      <c r="B41" s="55" t="s">
        <v>42</v>
      </c>
      <c r="C41">
        <v>4750.366</v>
      </c>
      <c r="D41">
        <v>40</v>
      </c>
    </row>
    <row r="42" spans="1:4" x14ac:dyDescent="0.35">
      <c r="A42" s="54" t="s">
        <v>1193</v>
      </c>
      <c r="B42" s="54" t="s">
        <v>43</v>
      </c>
      <c r="C42">
        <v>4532.5</v>
      </c>
      <c r="D42">
        <v>41</v>
      </c>
    </row>
    <row r="43" spans="1:4" x14ac:dyDescent="0.35">
      <c r="A43" s="55" t="s">
        <v>1193</v>
      </c>
      <c r="B43" s="55" t="s">
        <v>44</v>
      </c>
      <c r="C43">
        <v>4794.3590000000004</v>
      </c>
      <c r="D43">
        <v>42</v>
      </c>
    </row>
    <row r="44" spans="1:4" x14ac:dyDescent="0.35">
      <c r="A44" s="54" t="s">
        <v>1193</v>
      </c>
      <c r="B44" s="54" t="s">
        <v>45</v>
      </c>
      <c r="C44">
        <v>4187.83</v>
      </c>
      <c r="D44">
        <v>43</v>
      </c>
    </row>
    <row r="45" spans="1:4" x14ac:dyDescent="0.35">
      <c r="A45" s="55" t="s">
        <v>1193</v>
      </c>
      <c r="B45" s="55" t="s">
        <v>46</v>
      </c>
      <c r="C45">
        <v>5120.07</v>
      </c>
      <c r="D45">
        <v>44</v>
      </c>
    </row>
    <row r="46" spans="1:4" x14ac:dyDescent="0.35">
      <c r="A46" s="54" t="s">
        <v>1194</v>
      </c>
      <c r="B46" s="54" t="s">
        <v>47</v>
      </c>
      <c r="C46">
        <v>4755.9179999999997</v>
      </c>
      <c r="D46">
        <v>45</v>
      </c>
    </row>
    <row r="47" spans="1:4" x14ac:dyDescent="0.35">
      <c r="A47" s="55" t="s">
        <v>1194</v>
      </c>
      <c r="B47" s="55" t="s">
        <v>48</v>
      </c>
      <c r="C47">
        <v>5158.3530000000001</v>
      </c>
      <c r="D47">
        <v>46</v>
      </c>
    </row>
    <row r="48" spans="1:4" x14ac:dyDescent="0.35">
      <c r="A48" s="54" t="s">
        <v>1194</v>
      </c>
      <c r="B48" s="54" t="s">
        <v>49</v>
      </c>
      <c r="C48">
        <v>5027.1220000000003</v>
      </c>
      <c r="D48">
        <v>47</v>
      </c>
    </row>
    <row r="49" spans="1:4" x14ac:dyDescent="0.35">
      <c r="A49" s="55" t="s">
        <v>1194</v>
      </c>
      <c r="B49" s="55" t="s">
        <v>50</v>
      </c>
      <c r="C49">
        <v>5410.277</v>
      </c>
      <c r="D49">
        <v>48</v>
      </c>
    </row>
    <row r="50" spans="1:4" x14ac:dyDescent="0.35">
      <c r="A50" s="54" t="s">
        <v>1195</v>
      </c>
      <c r="B50" s="54" t="s">
        <v>51</v>
      </c>
      <c r="C50">
        <v>5386.6620000000003</v>
      </c>
      <c r="D50">
        <v>49</v>
      </c>
    </row>
    <row r="51" spans="1:4" x14ac:dyDescent="0.35">
      <c r="A51" s="55" t="s">
        <v>1195</v>
      </c>
      <c r="B51" s="55" t="s">
        <v>52</v>
      </c>
      <c r="C51">
        <v>5543.451</v>
      </c>
      <c r="D51">
        <v>50</v>
      </c>
    </row>
    <row r="52" spans="1:4" x14ac:dyDescent="0.35">
      <c r="A52" s="54" t="s">
        <v>1195</v>
      </c>
      <c r="B52" s="54" t="s">
        <v>53</v>
      </c>
      <c r="C52">
        <v>5764.6930000000002</v>
      </c>
      <c r="D52">
        <v>51</v>
      </c>
    </row>
    <row r="53" spans="1:4" x14ac:dyDescent="0.35">
      <c r="A53" s="55" t="s">
        <v>1195</v>
      </c>
      <c r="B53" s="55" t="s">
        <v>54</v>
      </c>
      <c r="C53">
        <v>6170.3580000000002</v>
      </c>
      <c r="D53">
        <v>52</v>
      </c>
    </row>
    <row r="54" spans="1:4" x14ac:dyDescent="0.35">
      <c r="A54" s="54" t="s">
        <v>1196</v>
      </c>
      <c r="B54" s="54" t="s">
        <v>55</v>
      </c>
      <c r="C54">
        <v>6077.558</v>
      </c>
      <c r="D54">
        <v>53</v>
      </c>
    </row>
    <row r="55" spans="1:4" x14ac:dyDescent="0.35">
      <c r="A55" s="55" t="s">
        <v>1196</v>
      </c>
      <c r="B55" s="55" t="s">
        <v>56</v>
      </c>
      <c r="C55">
        <v>6345.5069999999996</v>
      </c>
      <c r="D55">
        <v>54</v>
      </c>
    </row>
    <row r="56" spans="1:4" x14ac:dyDescent="0.35">
      <c r="A56" s="54" t="s">
        <v>1196</v>
      </c>
      <c r="B56" s="54" t="s">
        <v>57</v>
      </c>
      <c r="C56">
        <v>6394.8150000000005</v>
      </c>
      <c r="D56">
        <v>55</v>
      </c>
    </row>
    <row r="57" spans="1:4" x14ac:dyDescent="0.35">
      <c r="A57" s="55" t="s">
        <v>1196</v>
      </c>
      <c r="B57" s="55" t="s">
        <v>58</v>
      </c>
      <c r="C57">
        <v>5744.5879999999997</v>
      </c>
      <c r="D57">
        <v>56</v>
      </c>
    </row>
    <row r="58" spans="1:4" x14ac:dyDescent="0.35">
      <c r="A58" s="54" t="s">
        <v>1197</v>
      </c>
      <c r="B58" s="54" t="s">
        <v>59</v>
      </c>
      <c r="C58">
        <v>6680.277</v>
      </c>
      <c r="D58">
        <v>57</v>
      </c>
    </row>
    <row r="59" spans="1:4" x14ac:dyDescent="0.35">
      <c r="A59" s="55" t="s">
        <v>1197</v>
      </c>
      <c r="B59" s="55" t="s">
        <v>60</v>
      </c>
      <c r="C59">
        <v>4965.5910000000003</v>
      </c>
      <c r="D59">
        <v>58</v>
      </c>
    </row>
    <row r="60" spans="1:4" x14ac:dyDescent="0.35">
      <c r="A60" s="54" t="s">
        <v>1197</v>
      </c>
      <c r="B60" s="54" t="s">
        <v>61</v>
      </c>
      <c r="C60">
        <v>5070.607</v>
      </c>
      <c r="D60">
        <v>59</v>
      </c>
    </row>
    <row r="66" spans="3:4" x14ac:dyDescent="0.35">
      <c r="C66" s="66" t="s">
        <v>1203</v>
      </c>
      <c r="D66" s="64">
        <f>AVERAGE(Tabla8[Total US])</f>
        <v>4253.7532881355928</v>
      </c>
    </row>
    <row r="67" spans="3:4" x14ac:dyDescent="0.35">
      <c r="C67" s="66" t="s">
        <v>1204</v>
      </c>
      <c r="D67" s="64">
        <f>MEDIAN(Tabla8[[#All],[Total US]])</f>
        <v>4165.1149999999998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D762-908D-424F-B67B-BBC0D8628559}">
  <dimension ref="A1:L60"/>
  <sheetViews>
    <sheetView workbookViewId="0">
      <selection activeCell="N17" sqref="N17"/>
    </sheetView>
  </sheetViews>
  <sheetFormatPr baseColWidth="10" defaultRowHeight="14.5" x14ac:dyDescent="0.35"/>
  <cols>
    <col min="2" max="2" width="11.1796875" customWidth="1"/>
    <col min="4" max="4" width="13.54296875" customWidth="1"/>
    <col min="5" max="5" width="27.54296875" customWidth="1"/>
    <col min="6" max="6" width="33.81640625" customWidth="1"/>
    <col min="10" max="10" width="25.6328125" customWidth="1"/>
  </cols>
  <sheetData>
    <row r="1" spans="1:12" ht="58" x14ac:dyDescent="0.35">
      <c r="A1" s="88" t="s">
        <v>618</v>
      </c>
      <c r="B1" s="88" t="s">
        <v>1276</v>
      </c>
      <c r="C1" s="88" t="s">
        <v>1088</v>
      </c>
      <c r="D1" s="88" t="s">
        <v>1247</v>
      </c>
      <c r="E1" s="89" t="s">
        <v>1248</v>
      </c>
      <c r="F1" s="117" t="s">
        <v>1277</v>
      </c>
      <c r="G1" s="117" t="s">
        <v>1278</v>
      </c>
    </row>
    <row r="2" spans="1:12" x14ac:dyDescent="0.35">
      <c r="A2" s="54" t="s">
        <v>1183</v>
      </c>
      <c r="B2" s="78" t="str">
        <f>LEFT(Tabla4[[#This Row],[Periodo]],2)</f>
        <v>Q1</v>
      </c>
      <c r="C2" s="78">
        <v>1</v>
      </c>
      <c r="D2" s="34">
        <v>3223.5839999999998</v>
      </c>
      <c r="E2" s="64"/>
      <c r="F2" s="96">
        <f>Regre_YAUS!$B$17+Regre_YAUS!$B$18*C2</f>
        <v>2753.6028525423726</v>
      </c>
      <c r="G2" s="77">
        <f>D2/F2</f>
        <v>1.1706786245604368</v>
      </c>
    </row>
    <row r="3" spans="1:12" x14ac:dyDescent="0.35">
      <c r="A3" s="55" t="s">
        <v>1183</v>
      </c>
      <c r="B3" s="79" t="str">
        <f>LEFT(Tabla4[[#This Row],[Periodo]],2)</f>
        <v>Q2</v>
      </c>
      <c r="C3" s="79">
        <v>2</v>
      </c>
      <c r="D3" s="50">
        <v>3472.9369999999999</v>
      </c>
      <c r="E3" s="64"/>
      <c r="F3" s="96">
        <f>Regre_YAUS!$B$17+Regre_YAUS!$B$18*C3</f>
        <v>2805.3321779076564</v>
      </c>
      <c r="G3" s="77">
        <f t="shared" ref="G3:G60" si="0">D3/F3</f>
        <v>1.2379771020878794</v>
      </c>
    </row>
    <row r="4" spans="1:12" x14ac:dyDescent="0.35">
      <c r="A4" s="54" t="s">
        <v>1183</v>
      </c>
      <c r="B4" s="78" t="str">
        <f>LEFT(Tabla4[[#This Row],[Periodo]],2)</f>
        <v>Q3</v>
      </c>
      <c r="C4" s="78">
        <v>3</v>
      </c>
      <c r="D4" s="34">
        <v>3369.4650000000001</v>
      </c>
      <c r="E4" s="95">
        <f>(D2+D6+2*SUM(D3:D5))/COUNT(Tabla18[Demanda Dt])-4</f>
        <v>466.14416949152536</v>
      </c>
      <c r="F4" s="96">
        <f>Regre_YAUS!$B$17+Regre_YAUS!$B$18*C4</f>
        <v>2857.0615032729397</v>
      </c>
      <c r="G4" s="77">
        <f t="shared" si="0"/>
        <v>1.1793463305357867</v>
      </c>
      <c r="I4" s="116" t="s">
        <v>1279</v>
      </c>
      <c r="J4" s="77" t="e">
        <f>SUM(#REF!,#REF!,#REF!)/3</f>
        <v>#REF!</v>
      </c>
      <c r="K4" s="116" t="s">
        <v>1280</v>
      </c>
      <c r="L4" s="96" t="e">
        <v>#REF!</v>
      </c>
    </row>
    <row r="5" spans="1:12" x14ac:dyDescent="0.35">
      <c r="A5" s="55" t="s">
        <v>1183</v>
      </c>
      <c r="B5" s="79" t="str">
        <f>LEFT(Tabla4[[#This Row],[Periodo]],2)</f>
        <v>Q4</v>
      </c>
      <c r="C5" s="79">
        <v>4</v>
      </c>
      <c r="D5" s="50">
        <v>3601.0940000000001</v>
      </c>
      <c r="E5" s="95">
        <f>(D3+D7+2*SUM(D4:D6))/COUNT(Tabla18[Demanda Dt])-4</f>
        <v>478.36333898305088</v>
      </c>
      <c r="F5" s="96">
        <f>Regre_YAUS!$B$17+Regre_YAUS!$B$18*C5</f>
        <v>2908.790828638223</v>
      </c>
      <c r="G5" s="77">
        <f t="shared" si="0"/>
        <v>1.2380037658761063</v>
      </c>
      <c r="I5" s="116" t="s">
        <v>1281</v>
      </c>
      <c r="J5" s="77" t="e">
        <f>SUM(#REF!,#REF!,#REF!)/3</f>
        <v>#REF!</v>
      </c>
      <c r="K5" s="116" t="s">
        <v>1282</v>
      </c>
      <c r="L5" s="96" t="e">
        <v>#REF!</v>
      </c>
    </row>
    <row r="6" spans="1:12" x14ac:dyDescent="0.35">
      <c r="A6" s="54" t="s">
        <v>1184</v>
      </c>
      <c r="B6" s="78" t="str">
        <f>LEFT(Tabla4[[#This Row],[Periodo]],2)</f>
        <v>Q1</v>
      </c>
      <c r="C6" s="78">
        <v>5</v>
      </c>
      <c r="D6" s="34">
        <v>3627.9300000000003</v>
      </c>
      <c r="E6" s="95">
        <f>(D4+D8+2*SUM(D5:D7))/COUNT(Tabla18[Demanda Dt])-4</f>
        <v>490.91432203389832</v>
      </c>
      <c r="F6" s="96">
        <f>Regre_YAUS!$B$17+Regre_YAUS!$B$18*C6</f>
        <v>2960.5201540035064</v>
      </c>
      <c r="G6" s="77">
        <f t="shared" si="0"/>
        <v>1.2254366838523145</v>
      </c>
      <c r="I6" s="116" t="s">
        <v>1283</v>
      </c>
      <c r="J6" s="77" t="e">
        <f>SUM(#REF!,#REF!,#REF!)/3</f>
        <v>#REF!</v>
      </c>
      <c r="K6" s="116" t="s">
        <v>1284</v>
      </c>
      <c r="L6" s="96" t="e">
        <v>#REF!</v>
      </c>
    </row>
    <row r="7" spans="1:12" x14ac:dyDescent="0.35">
      <c r="A7" s="55" t="s">
        <v>1184</v>
      </c>
      <c r="B7" s="79" t="str">
        <f>LEFT(Tabla4[[#This Row],[Periodo]],2)</f>
        <v>Q2</v>
      </c>
      <c r="C7" s="79">
        <v>6</v>
      </c>
      <c r="D7" s="50">
        <v>3789.5219999999999</v>
      </c>
      <c r="E7" s="95">
        <f>(D5+D9+2*SUM(D6:D8))/COUNT(Tabla18[Demanda Dt])-4</f>
        <v>489.48177966101696</v>
      </c>
      <c r="F7" s="96">
        <f>Regre_YAUS!$B$17+Regre_YAUS!$B$18*C7</f>
        <v>3012.2494793687902</v>
      </c>
      <c r="G7" s="77">
        <f t="shared" si="0"/>
        <v>1.2580372329565761</v>
      </c>
      <c r="I7" s="116" t="s">
        <v>1285</v>
      </c>
      <c r="J7" s="77" t="e">
        <f>SUM(#REF!,#REF!,#REF!)/3</f>
        <v>#REF!</v>
      </c>
      <c r="K7" s="116" t="s">
        <v>1286</v>
      </c>
      <c r="L7" s="96" t="e">
        <v>#REF!</v>
      </c>
    </row>
    <row r="8" spans="1:12" x14ac:dyDescent="0.35">
      <c r="A8" s="54" t="s">
        <v>1184</v>
      </c>
      <c r="B8" s="78" t="str">
        <f>LEFT(Tabla4[[#This Row],[Periodo]],2)</f>
        <v>Q3</v>
      </c>
      <c r="C8" s="78">
        <v>7</v>
      </c>
      <c r="D8" s="34">
        <v>3793.3879999999999</v>
      </c>
      <c r="E8" s="95">
        <f>(D6+D10+2*SUM(D7:D9))/COUNT(Tabla18[Demanda Dt])-4</f>
        <v>473.05971186440678</v>
      </c>
      <c r="F8" s="96">
        <f>Regre_YAUS!$B$17+Regre_YAUS!$B$18*C8</f>
        <v>3063.9788047340735</v>
      </c>
      <c r="G8" s="77">
        <f t="shared" si="0"/>
        <v>1.2380594781331173</v>
      </c>
    </row>
    <row r="9" spans="1:12" x14ac:dyDescent="0.35">
      <c r="A9" s="55" t="s">
        <v>1184</v>
      </c>
      <c r="B9" s="79" t="str">
        <f>LEFT(Tabla4[[#This Row],[Periodo]],2)</f>
        <v>Q4</v>
      </c>
      <c r="C9" s="79">
        <v>8</v>
      </c>
      <c r="D9" s="50">
        <v>3092.6509999999998</v>
      </c>
      <c r="E9" s="95">
        <f>(D7+D11+2*SUM(D8:D10))/COUNT(Tabla18[Demanda Dt])-4</f>
        <v>456.80784745762713</v>
      </c>
      <c r="F9" s="96">
        <f>Regre_YAUS!$B$17+Regre_YAUS!$B$18*C9</f>
        <v>3115.7081300993568</v>
      </c>
      <c r="G9" s="77">
        <f t="shared" si="0"/>
        <v>0.99259971437099226</v>
      </c>
    </row>
    <row r="10" spans="1:12" x14ac:dyDescent="0.35">
      <c r="A10" s="54" t="s">
        <v>1185</v>
      </c>
      <c r="B10" s="78" t="str">
        <f>LEFT(Tabla4[[#This Row],[Periodo]],2)</f>
        <v>Q1</v>
      </c>
      <c r="C10" s="78">
        <v>9</v>
      </c>
      <c r="D10" s="34">
        <v>3167.471</v>
      </c>
      <c r="E10" s="95">
        <f>(D8+D12+2*SUM(D9:D11))/COUNT(Tabla18[Demanda Dt])-4</f>
        <v>440.20174576271182</v>
      </c>
      <c r="F10" s="96">
        <f>Regre_YAUS!$B$17+Regre_YAUS!$B$18*C10</f>
        <v>3167.4374554646402</v>
      </c>
      <c r="G10" s="77">
        <f t="shared" si="0"/>
        <v>1.0000105904333807</v>
      </c>
    </row>
    <row r="11" spans="1:12" x14ac:dyDescent="0.35">
      <c r="A11" s="55" t="s">
        <v>1185</v>
      </c>
      <c r="B11" s="79" t="str">
        <f>LEFT(Tabla4[[#This Row],[Periodo]],2)</f>
        <v>Q2</v>
      </c>
      <c r="C11" s="79">
        <v>10</v>
      </c>
      <c r="D11" s="50">
        <v>3291.1210000000001</v>
      </c>
      <c r="E11" s="95">
        <f>(D9+D13+2*SUM(D10:D12))/COUNT(Tabla18[Demanda Dt])-4</f>
        <v>419.63776271186447</v>
      </c>
      <c r="F11" s="96">
        <f>Regre_YAUS!$B$17+Regre_YAUS!$B$18*C11</f>
        <v>3219.1667808299239</v>
      </c>
      <c r="G11" s="77">
        <f t="shared" si="0"/>
        <v>1.0223518146368067</v>
      </c>
    </row>
    <row r="12" spans="1:12" x14ac:dyDescent="0.35">
      <c r="A12" s="54" t="s">
        <v>1185</v>
      </c>
      <c r="B12" s="78" t="str">
        <f>LEFT(Tabla4[[#This Row],[Periodo]],2)</f>
        <v>Q3</v>
      </c>
      <c r="C12" s="78">
        <v>11</v>
      </c>
      <c r="D12" s="34">
        <v>3312.029</v>
      </c>
      <c r="E12" s="95">
        <f>(D10+D14+2*SUM(D11:D13))/COUNT(Tabla18[Demanda Dt])-4</f>
        <v>402.63011864406781</v>
      </c>
      <c r="F12" s="96">
        <f>Regre_YAUS!$B$17+Regre_YAUS!$B$18*C12</f>
        <v>3270.8961061952073</v>
      </c>
      <c r="G12" s="77">
        <f t="shared" si="0"/>
        <v>1.012575420456457</v>
      </c>
    </row>
    <row r="13" spans="1:12" x14ac:dyDescent="0.35">
      <c r="A13" s="55" t="s">
        <v>1185</v>
      </c>
      <c r="B13" s="79" t="str">
        <f>LEFT(Tabla4[[#This Row],[Periodo]],2)</f>
        <v>Q4</v>
      </c>
      <c r="C13" s="79">
        <v>12</v>
      </c>
      <c r="D13" s="50">
        <v>2360.7350000000001</v>
      </c>
      <c r="E13" s="95">
        <f>(D11+D15+2*SUM(D12:D14))/COUNT(Tabla18[Demanda Dt])-4</f>
        <v>395.04323728813557</v>
      </c>
      <c r="F13" s="96">
        <f>Regre_YAUS!$B$17+Regre_YAUS!$B$18*C13</f>
        <v>3322.6254315604911</v>
      </c>
      <c r="G13" s="77">
        <f t="shared" si="0"/>
        <v>0.71050289857417559</v>
      </c>
    </row>
    <row r="14" spans="1:12" x14ac:dyDescent="0.35">
      <c r="A14" s="54" t="s">
        <v>1186</v>
      </c>
      <c r="B14" s="78" t="str">
        <f>LEFT(Tabla4[[#This Row],[Periodo]],2)</f>
        <v>Q1</v>
      </c>
      <c r="C14" s="78">
        <v>13</v>
      </c>
      <c r="D14" s="34">
        <v>2895.9360000000001</v>
      </c>
      <c r="E14" s="95">
        <f>(D12+D16+2*SUM(D13:D15))/COUNT(Tabla18[Demanda Dt])-4</f>
        <v>404.32710169491531</v>
      </c>
      <c r="F14" s="96">
        <f>Regre_YAUS!$B$17+Regre_YAUS!$B$18*C14</f>
        <v>3374.3547569257744</v>
      </c>
      <c r="G14" s="77">
        <f t="shared" si="0"/>
        <v>0.85821918814439047</v>
      </c>
    </row>
    <row r="15" spans="1:12" x14ac:dyDescent="0.35">
      <c r="A15" s="55" t="s">
        <v>1186</v>
      </c>
      <c r="B15" s="79" t="str">
        <f>LEFT(Tabla4[[#This Row],[Periodo]],2)</f>
        <v>Q2</v>
      </c>
      <c r="C15" s="79">
        <v>14</v>
      </c>
      <c r="D15" s="50">
        <v>3115.0299999999997</v>
      </c>
      <c r="E15" s="95">
        <f>(D13+D17+2*SUM(D14:D16))/COUNT(Tabla18[Demanda Dt])-4</f>
        <v>424.57423728813563</v>
      </c>
      <c r="F15" s="96">
        <f>Regre_YAUS!$B$17+Regre_YAUS!$B$18*C15</f>
        <v>3426.0840822910577</v>
      </c>
      <c r="G15" s="77">
        <f t="shared" si="0"/>
        <v>0.9092100267185933</v>
      </c>
    </row>
    <row r="16" spans="1:12" x14ac:dyDescent="0.35">
      <c r="A16" s="54" t="s">
        <v>1186</v>
      </c>
      <c r="B16" s="78" t="str">
        <f>LEFT(Tabla4[[#This Row],[Periodo]],2)</f>
        <v>Q3</v>
      </c>
      <c r="C16" s="78">
        <v>15</v>
      </c>
      <c r="D16" s="34">
        <v>4035.8679999999999</v>
      </c>
      <c r="E16" s="95">
        <f>(D14+D18+2*SUM(D15:D17))/COUNT(Tabla18[Demanda Dt])-4</f>
        <v>449.57786440677967</v>
      </c>
      <c r="F16" s="96">
        <f>Regre_YAUS!$B$17+Regre_YAUS!$B$18*C16</f>
        <v>3477.813407656341</v>
      </c>
      <c r="G16" s="77">
        <f t="shared" si="0"/>
        <v>1.1604613378955617</v>
      </c>
    </row>
    <row r="17" spans="1:7" x14ac:dyDescent="0.35">
      <c r="A17" s="55" t="s">
        <v>1186</v>
      </c>
      <c r="B17" s="79" t="str">
        <f>LEFT(Tabla4[[#This Row],[Periodo]],2)</f>
        <v>Q4</v>
      </c>
      <c r="C17" s="79">
        <v>16</v>
      </c>
      <c r="D17" s="50">
        <v>2831.4769999999999</v>
      </c>
      <c r="E17" s="95">
        <f>(D15+D19+2*SUM(D16:D18))/COUNT(Tabla18[Demanda Dt])-4</f>
        <v>464.93840677966097</v>
      </c>
      <c r="F17" s="96">
        <f>Regre_YAUS!$B$17+Regre_YAUS!$B$18*C17</f>
        <v>3529.5427330216244</v>
      </c>
      <c r="G17" s="77">
        <f t="shared" si="0"/>
        <v>0.80222204806002906</v>
      </c>
    </row>
    <row r="18" spans="1:7" x14ac:dyDescent="0.35">
      <c r="A18" s="54" t="s">
        <v>1187</v>
      </c>
      <c r="B18" s="78" t="str">
        <f>LEFT(Tabla4[[#This Row],[Periodo]],2)</f>
        <v>Q1</v>
      </c>
      <c r="C18" s="78">
        <v>17</v>
      </c>
      <c r="D18" s="34">
        <v>3900.4079999999999</v>
      </c>
      <c r="E18" s="95">
        <f>(D16+D20+2*SUM(D17:D19))/COUNT(Tabla18[Demanda Dt])-4</f>
        <v>465.4646271186441</v>
      </c>
      <c r="F18" s="96">
        <f>Regre_YAUS!$B$17+Regre_YAUS!$B$18*C18</f>
        <v>3581.2720583869082</v>
      </c>
      <c r="G18" s="77">
        <f t="shared" si="0"/>
        <v>1.0891124540135715</v>
      </c>
    </row>
    <row r="19" spans="1:7" x14ac:dyDescent="0.35">
      <c r="A19" s="55" t="s">
        <v>1187</v>
      </c>
      <c r="B19" s="79" t="str">
        <f>LEFT(Tabla4[[#This Row],[Periodo]],2)</f>
        <v>Q2</v>
      </c>
      <c r="C19" s="79">
        <v>18</v>
      </c>
      <c r="D19" s="50">
        <v>3016.83</v>
      </c>
      <c r="E19" s="95">
        <f>(D17+D21+2*SUM(D18:D20))/COUNT(Tabla18[Demanda Dt])-4</f>
        <v>469.01871186440678</v>
      </c>
      <c r="F19" s="96">
        <f>Regre_YAUS!$B$17+Regre_YAUS!$B$18*C19</f>
        <v>3633.0013837521915</v>
      </c>
      <c r="G19" s="77">
        <f t="shared" si="0"/>
        <v>0.83039605035443032</v>
      </c>
    </row>
    <row r="20" spans="1:7" x14ac:dyDescent="0.35">
      <c r="A20" s="54" t="s">
        <v>1187</v>
      </c>
      <c r="B20" s="78" t="str">
        <f>LEFT(Tabla4[[#This Row],[Periodo]],2)</f>
        <v>Q3</v>
      </c>
      <c r="C20" s="78">
        <v>19</v>
      </c>
      <c r="D20" s="34">
        <v>4165.1149999999998</v>
      </c>
      <c r="E20" s="95">
        <f>(D18+D22+2*SUM(D19:D21))/COUNT(Tabla18[Demanda Dt])-4</f>
        <v>458.25786440677967</v>
      </c>
      <c r="F20" s="96">
        <f>Regre_YAUS!$B$17+Regre_YAUS!$B$18*C20</f>
        <v>3684.7307091174748</v>
      </c>
      <c r="G20" s="77">
        <f t="shared" si="0"/>
        <v>1.130371614320109</v>
      </c>
    </row>
    <row r="21" spans="1:7" x14ac:dyDescent="0.35">
      <c r="A21" s="55" t="s">
        <v>1187</v>
      </c>
      <c r="B21" s="79" t="str">
        <f>LEFT(Tabla4[[#This Row],[Periodo]],2)</f>
        <v>Q4</v>
      </c>
      <c r="C21" s="79">
        <v>20</v>
      </c>
      <c r="D21" s="50">
        <v>2911.9210000000003</v>
      </c>
      <c r="E21" s="95">
        <f>(D19+D23+2*SUM(D20:D22))/COUNT(Tabla18[Demanda Dt])-4</f>
        <v>450.34593220338985</v>
      </c>
      <c r="F21" s="96">
        <f>Regre_YAUS!$B$17+Regre_YAUS!$B$18*C21</f>
        <v>3736.4600344827586</v>
      </c>
      <c r="G21" s="77">
        <f t="shared" si="0"/>
        <v>0.77932614643986153</v>
      </c>
    </row>
    <row r="22" spans="1:7" x14ac:dyDescent="0.35">
      <c r="A22" s="54" t="s">
        <v>1188</v>
      </c>
      <c r="B22" s="78" t="str">
        <f>LEFT(Tabla4[[#This Row],[Periodo]],2)</f>
        <v>Q1</v>
      </c>
      <c r="C22" s="78">
        <v>21</v>
      </c>
      <c r="D22" s="34">
        <v>3185.0740000000001</v>
      </c>
      <c r="E22" s="95">
        <f>(D20+D24+2*SUM(D21:D23))/COUNT(Tabla18[Demanda Dt])-4</f>
        <v>456.10232203389825</v>
      </c>
      <c r="F22" s="96">
        <f>Regre_YAUS!$B$17+Regre_YAUS!$B$18*C22</f>
        <v>3788.1893598480419</v>
      </c>
      <c r="G22" s="77">
        <f t="shared" si="0"/>
        <v>0.84079059873811723</v>
      </c>
    </row>
    <row r="23" spans="1:7" x14ac:dyDescent="0.35">
      <c r="A23" s="55" t="s">
        <v>1188</v>
      </c>
      <c r="B23" s="79" t="str">
        <f>LEFT(Tabla4[[#This Row],[Periodo]],2)</f>
        <v>Q2</v>
      </c>
      <c r="C23" s="79">
        <v>22</v>
      </c>
      <c r="D23" s="50">
        <v>3265.3599999999997</v>
      </c>
      <c r="E23" s="95">
        <f>(D21+D25+2*SUM(D22:D24))/COUNT(Tabla18[Demanda Dt])-4</f>
        <v>466.10767796610162</v>
      </c>
      <c r="F23" s="96">
        <f>Regre_YAUS!$B$17+Regre_YAUS!$B$18*C23</f>
        <v>3839.9186852133253</v>
      </c>
      <c r="G23" s="77">
        <f t="shared" si="0"/>
        <v>0.85037217391456132</v>
      </c>
    </row>
    <row r="24" spans="1:7" x14ac:dyDescent="0.35">
      <c r="A24" s="54" t="s">
        <v>1188</v>
      </c>
      <c r="B24" s="78" t="str">
        <f>LEFT(Tabla4[[#This Row],[Periodo]],2)</f>
        <v>Q3</v>
      </c>
      <c r="C24" s="78">
        <v>23</v>
      </c>
      <c r="D24" s="34">
        <v>4256.2119999999995</v>
      </c>
      <c r="E24" s="95">
        <f>(D22+D26+2*SUM(D23:D25))/COUNT(Tabla18[Demanda Dt])-4</f>
        <v>479.80677966101695</v>
      </c>
      <c r="F24" s="96">
        <f>Regre_YAUS!$B$17+Regre_YAUS!$B$18*C24</f>
        <v>3891.6480105786086</v>
      </c>
      <c r="G24" s="77">
        <f t="shared" si="0"/>
        <v>1.093678561994919</v>
      </c>
    </row>
    <row r="25" spans="1:7" x14ac:dyDescent="0.35">
      <c r="A25" s="55" t="s">
        <v>1188</v>
      </c>
      <c r="B25" s="79" t="str">
        <f>LEFT(Tabla4[[#This Row],[Periodo]],2)</f>
        <v>Q4</v>
      </c>
      <c r="C25" s="79">
        <v>24</v>
      </c>
      <c r="D25" s="50">
        <v>3411.14</v>
      </c>
      <c r="E25" s="95">
        <f>(D23+D27+2*SUM(D24:D26))/COUNT(Tabla18[Demanda Dt])-4</f>
        <v>492.27850847457614</v>
      </c>
      <c r="F25" s="96">
        <f>Regre_YAUS!$B$17+Regre_YAUS!$B$18*C25</f>
        <v>3943.3773359438924</v>
      </c>
      <c r="G25" s="77">
        <f t="shared" si="0"/>
        <v>0.8650300768601199</v>
      </c>
    </row>
    <row r="26" spans="1:7" x14ac:dyDescent="0.35">
      <c r="A26" s="54" t="s">
        <v>1189</v>
      </c>
      <c r="B26" s="78" t="str">
        <f>LEFT(Tabla4[[#This Row],[Periodo]],2)</f>
        <v>Q1</v>
      </c>
      <c r="C26" s="78">
        <v>25</v>
      </c>
      <c r="D26" s="34">
        <v>3494.1019999999999</v>
      </c>
      <c r="E26" s="95">
        <f>(D24+D28+2*SUM(D25:D27))/COUNT(Tabla18[Demanda Dt])-4</f>
        <v>490.32525423728811</v>
      </c>
      <c r="F26" s="96">
        <f>Regre_YAUS!$B$17+Regre_YAUS!$B$18*C26</f>
        <v>3995.1066613091757</v>
      </c>
      <c r="G26" s="77">
        <f t="shared" si="0"/>
        <v>0.87459542290543024</v>
      </c>
    </row>
    <row r="27" spans="1:7" x14ac:dyDescent="0.35">
      <c r="A27" s="55" t="s">
        <v>1189</v>
      </c>
      <c r="B27" s="79" t="str">
        <f>LEFT(Tabla4[[#This Row],[Periodo]],2)</f>
        <v>Q2</v>
      </c>
      <c r="C27" s="79">
        <v>26</v>
      </c>
      <c r="D27" s="50">
        <v>3692.1639999999998</v>
      </c>
      <c r="E27" s="95">
        <f>(D25+D29+2*SUM(D26:D28))/COUNT(Tabla18[Demanda Dt])-4</f>
        <v>487.85179661016952</v>
      </c>
      <c r="F27" s="96">
        <f>Regre_YAUS!$B$17+Regre_YAUS!$B$18*C27</f>
        <v>4046.8359866744595</v>
      </c>
      <c r="G27" s="77">
        <f t="shared" si="0"/>
        <v>0.91235820086548258</v>
      </c>
    </row>
    <row r="28" spans="1:7" x14ac:dyDescent="0.35">
      <c r="A28" s="54" t="s">
        <v>1189</v>
      </c>
      <c r="B28" s="78" t="str">
        <f>LEFT(Tabla4[[#This Row],[Periodo]],2)</f>
        <v>Q3</v>
      </c>
      <c r="C28" s="78">
        <v>27</v>
      </c>
      <c r="D28" s="34">
        <v>3714.1660000000002</v>
      </c>
      <c r="E28" s="95">
        <f>(D26+D30+2*SUM(D27:D29))/COUNT(Tabla18[Demanda Dt])-4</f>
        <v>501.2739491525424</v>
      </c>
      <c r="F28" s="96">
        <f>Regre_YAUS!$B$17+Regre_YAUS!$B$18*C28</f>
        <v>4098.5653120397428</v>
      </c>
      <c r="G28" s="77">
        <f t="shared" si="0"/>
        <v>0.90621125131017177</v>
      </c>
    </row>
    <row r="29" spans="1:7" x14ac:dyDescent="0.35">
      <c r="A29" s="55" t="s">
        <v>1189</v>
      </c>
      <c r="B29" s="79" t="str">
        <f>LEFT(Tabla4[[#This Row],[Periodo]],2)</f>
        <v>Q4</v>
      </c>
      <c r="C29" s="79">
        <v>28</v>
      </c>
      <c r="D29" s="50">
        <v>3807.252</v>
      </c>
      <c r="E29" s="95">
        <f>(D27+D31+2*SUM(D28:D30))/COUNT(Tabla18[Demanda Dt])-4</f>
        <v>513.37027118644062</v>
      </c>
      <c r="F29" s="96">
        <f>Regre_YAUS!$B$17+Regre_YAUS!$B$18*C29</f>
        <v>4150.2946374050262</v>
      </c>
      <c r="G29" s="77">
        <f t="shared" si="0"/>
        <v>0.9173449917715929</v>
      </c>
    </row>
    <row r="30" spans="1:7" x14ac:dyDescent="0.35">
      <c r="A30" s="54" t="s">
        <v>1190</v>
      </c>
      <c r="B30" s="78" t="str">
        <f>LEFT(Tabla4[[#This Row],[Periodo]],2)</f>
        <v>Q1</v>
      </c>
      <c r="C30" s="78">
        <v>29</v>
      </c>
      <c r="D30" s="34">
        <v>3889.8969999999999</v>
      </c>
      <c r="E30" s="95">
        <f>(D28+D32+2*SUM(D29:D31))/COUNT(Tabla18[Demanda Dt])-4</f>
        <v>522.71540677966095</v>
      </c>
      <c r="F30" s="96">
        <f>Regre_YAUS!$B$17+Regre_YAUS!$B$18*C30</f>
        <v>4202.0239627703095</v>
      </c>
      <c r="G30" s="77">
        <f t="shared" si="0"/>
        <v>0.92571985178196592</v>
      </c>
    </row>
    <row r="31" spans="1:7" x14ac:dyDescent="0.35">
      <c r="A31" s="55" t="s">
        <v>1190</v>
      </c>
      <c r="B31" s="79" t="str">
        <f>LEFT(Tabla4[[#This Row],[Periodo]],2)</f>
        <v>Q2</v>
      </c>
      <c r="C31" s="79">
        <v>30</v>
      </c>
      <c r="D31" s="50">
        <v>4010.0519999999997</v>
      </c>
      <c r="E31" s="95">
        <f>(D29+D33+2*SUM(D30:D32))/COUNT(Tabla18[Demanda Dt])-4</f>
        <v>535.2663898305085</v>
      </c>
      <c r="F31" s="96">
        <f>Regre_YAUS!$B$17+Regre_YAUS!$B$18*C31</f>
        <v>4253.7532881355928</v>
      </c>
      <c r="G31" s="77">
        <f t="shared" si="0"/>
        <v>0.94270911554383852</v>
      </c>
    </row>
    <row r="32" spans="1:7" x14ac:dyDescent="0.35">
      <c r="A32" s="54" t="s">
        <v>1190</v>
      </c>
      <c r="B32" s="78" t="str">
        <f>LEFT(Tabla4[[#This Row],[Periodo]],2)</f>
        <v>Q3</v>
      </c>
      <c r="C32" s="78">
        <v>31</v>
      </c>
      <c r="D32" s="34">
        <v>3947.6409999999996</v>
      </c>
      <c r="E32" s="95">
        <f>(D30+D34+2*SUM(D31:D33))/COUNT(Tabla18[Demanda Dt])-4</f>
        <v>552.08408474576265</v>
      </c>
      <c r="F32" s="96">
        <f>Regre_YAUS!$B$17+Regre_YAUS!$B$18*C32</f>
        <v>4305.4826135008761</v>
      </c>
      <c r="G32" s="77">
        <f t="shared" si="0"/>
        <v>0.91688699139585927</v>
      </c>
    </row>
    <row r="33" spans="1:7" x14ac:dyDescent="0.35">
      <c r="A33" s="55" t="s">
        <v>1190</v>
      </c>
      <c r="B33" s="79" t="str">
        <f>LEFT(Tabla4[[#This Row],[Periodo]],2)</f>
        <v>Q4</v>
      </c>
      <c r="C33" s="79">
        <v>32</v>
      </c>
      <c r="D33" s="50">
        <v>4314.2849999999999</v>
      </c>
      <c r="E33" s="95">
        <f>(D31+D35+2*SUM(D32:D34))/COUNT(Tabla18[Demanda Dt])-4</f>
        <v>566.8926440677966</v>
      </c>
      <c r="F33" s="96">
        <f>Regre_YAUS!$B$17+Regre_YAUS!$B$18*C33</f>
        <v>4357.2119388661595</v>
      </c>
      <c r="G33" s="77">
        <f t="shared" si="0"/>
        <v>0.99014807187062603</v>
      </c>
    </row>
    <row r="34" spans="1:7" x14ac:dyDescent="0.35">
      <c r="A34" s="54" t="s">
        <v>1191</v>
      </c>
      <c r="B34" s="78" t="str">
        <f>LEFT(Tabla4[[#This Row],[Periodo]],2)</f>
        <v>Q1</v>
      </c>
      <c r="C34" s="78">
        <v>33</v>
      </c>
      <c r="D34" s="34">
        <v>4375.1080000000002</v>
      </c>
      <c r="E34" s="95">
        <f>(D32+D36+2*SUM(D33:D35))/COUNT(Tabla18[Demanda Dt])-4</f>
        <v>578.73230508474569</v>
      </c>
      <c r="F34" s="96">
        <f>Regre_YAUS!$B$17+Regre_YAUS!$B$18*C34</f>
        <v>4408.9412642314437</v>
      </c>
      <c r="G34" s="77">
        <f t="shared" si="0"/>
        <v>0.99232621570490775</v>
      </c>
    </row>
    <row r="35" spans="1:7" x14ac:dyDescent="0.35">
      <c r="A35" s="55" t="s">
        <v>1191</v>
      </c>
      <c r="B35" s="79" t="str">
        <f>LEFT(Tabla4[[#This Row],[Periodo]],2)</f>
        <v>Q2</v>
      </c>
      <c r="C35" s="79">
        <v>34</v>
      </c>
      <c r="D35" s="50">
        <v>4398.5460000000003</v>
      </c>
      <c r="E35" s="95">
        <f>(D33+D37+2*SUM(D34:D36))/COUNT(Tabla18[Demanda Dt])-4</f>
        <v>587.44594915254243</v>
      </c>
      <c r="F35" s="96">
        <f>Regre_YAUS!$B$17+Regre_YAUS!$B$18*C35</f>
        <v>4460.670589596727</v>
      </c>
      <c r="G35" s="77">
        <f t="shared" si="0"/>
        <v>0.98607281386309609</v>
      </c>
    </row>
    <row r="36" spans="1:7" x14ac:dyDescent="0.35">
      <c r="A36" s="54" t="s">
        <v>1191</v>
      </c>
      <c r="B36" s="78" t="str">
        <f>LEFT(Tabla4[[#This Row],[Periodo]],2)</f>
        <v>Q3</v>
      </c>
      <c r="C36" s="78">
        <v>35</v>
      </c>
      <c r="D36" s="34">
        <v>4257.6869999999999</v>
      </c>
      <c r="E36" s="95">
        <f>(D34+D38+2*SUM(D35:D37))/COUNT(Tabla18[Demanda Dt])-4</f>
        <v>590.62728813559329</v>
      </c>
      <c r="F36" s="96">
        <f>Regre_YAUS!$B$17+Regre_YAUS!$B$18*C36</f>
        <v>4512.3999149620104</v>
      </c>
      <c r="G36" s="77">
        <f t="shared" si="0"/>
        <v>0.94355267268810883</v>
      </c>
    </row>
    <row r="37" spans="1:7" x14ac:dyDescent="0.35">
      <c r="A37" s="55" t="s">
        <v>1191</v>
      </c>
      <c r="B37" s="79" t="str">
        <f>LEFT(Tabla4[[#This Row],[Periodo]],2)</f>
        <v>Q4</v>
      </c>
      <c r="C37" s="79">
        <v>36</v>
      </c>
      <c r="D37" s="50">
        <v>4518.3440000000001</v>
      </c>
      <c r="E37" s="95">
        <f>(D35+D39+2*SUM(D36:D38))/COUNT(Tabla18[Demanda Dt])-4</f>
        <v>593.10264406779652</v>
      </c>
      <c r="F37" s="96">
        <f>Regre_YAUS!$B$17+Regre_YAUS!$B$18*C37</f>
        <v>4564.1292403272937</v>
      </c>
      <c r="G37" s="77">
        <f t="shared" si="0"/>
        <v>0.98996846103244651</v>
      </c>
    </row>
    <row r="38" spans="1:7" x14ac:dyDescent="0.35">
      <c r="A38" s="54" t="s">
        <v>1192</v>
      </c>
      <c r="B38" s="78" t="str">
        <f>LEFT(Tabla4[[#This Row],[Periodo]],2)</f>
        <v>Q1</v>
      </c>
      <c r="C38" s="78">
        <v>37</v>
      </c>
      <c r="D38" s="34">
        <v>4358.7479999999996</v>
      </c>
      <c r="E38" s="95">
        <f>(D36+D40+2*SUM(D37:D39))/COUNT(Tabla18[Demanda Dt])-4</f>
        <v>602.66228813559326</v>
      </c>
      <c r="F38" s="96">
        <f>Regre_YAUS!$B$17+Regre_YAUS!$B$18*C38</f>
        <v>4615.858565692577</v>
      </c>
      <c r="G38" s="77">
        <f t="shared" si="0"/>
        <v>0.94429843071805653</v>
      </c>
    </row>
    <row r="39" spans="1:7" x14ac:dyDescent="0.35">
      <c r="A39" s="55" t="s">
        <v>1192</v>
      </c>
      <c r="B39" s="79" t="str">
        <f>LEFT(Tabla4[[#This Row],[Periodo]],2)</f>
        <v>Q2</v>
      </c>
      <c r="C39" s="79">
        <v>38</v>
      </c>
      <c r="D39" s="50">
        <v>4560.9520000000002</v>
      </c>
      <c r="E39" s="95">
        <f>(D37+D41+2*SUM(D38:D40))/COUNT(Tabla18[Demanda Dt])-4</f>
        <v>613.40186440677962</v>
      </c>
      <c r="F39" s="96">
        <f>Regre_YAUS!$B$17+Regre_YAUS!$B$18*C39</f>
        <v>4667.5878910578604</v>
      </c>
      <c r="G39" s="77">
        <f t="shared" si="0"/>
        <v>0.977153961843514</v>
      </c>
    </row>
    <row r="40" spans="1:7" x14ac:dyDescent="0.35">
      <c r="A40" s="54" t="s">
        <v>1192</v>
      </c>
      <c r="B40" s="78" t="str">
        <f>LEFT(Tabla4[[#This Row],[Periodo]],2)</f>
        <v>Q3</v>
      </c>
      <c r="C40" s="78">
        <v>39</v>
      </c>
      <c r="D40" s="34">
        <v>4659.3</v>
      </c>
      <c r="E40" s="95">
        <f>(D38+D42+2*SUM(D39:D41))/COUNT(Tabla18[Demanda Dt])-4</f>
        <v>620.27938983050842</v>
      </c>
      <c r="F40" s="96">
        <f>Regre_YAUS!$B$17+Regre_YAUS!$B$18*C40</f>
        <v>4719.3172164231437</v>
      </c>
      <c r="G40" s="77">
        <f t="shared" si="0"/>
        <v>0.98728264838517643</v>
      </c>
    </row>
    <row r="41" spans="1:7" x14ac:dyDescent="0.35">
      <c r="A41" s="55" t="s">
        <v>1192</v>
      </c>
      <c r="B41" s="79" t="str">
        <f>LEFT(Tabla4[[#This Row],[Periodo]],2)</f>
        <v>Q4</v>
      </c>
      <c r="C41" s="79">
        <v>40</v>
      </c>
      <c r="D41" s="50">
        <v>4750.366</v>
      </c>
      <c r="E41" s="95">
        <f>(D39+D43+2*SUM(D40:D42))/COUNT(Tabla18[Demanda Dt])-4</f>
        <v>627.18038983050849</v>
      </c>
      <c r="F41" s="96">
        <f>Regre_YAUS!$B$17+Regre_YAUS!$B$18*C41</f>
        <v>4771.0465417884279</v>
      </c>
      <c r="G41" s="77">
        <f t="shared" si="0"/>
        <v>0.9956654076611301</v>
      </c>
    </row>
    <row r="42" spans="1:7" x14ac:dyDescent="0.35">
      <c r="A42" s="54" t="s">
        <v>1193</v>
      </c>
      <c r="B42" s="78" t="str">
        <f>LEFT(Tabla4[[#This Row],[Periodo]],2)</f>
        <v>Q1</v>
      </c>
      <c r="C42" s="78">
        <v>41</v>
      </c>
      <c r="D42" s="34">
        <v>4532.5</v>
      </c>
      <c r="E42" s="95">
        <f>(D40+D44+2*SUM(D41:D43))/COUNT(Tabla18[Demanda Dt])-4</f>
        <v>623.14542372881363</v>
      </c>
      <c r="F42" s="96">
        <f>Regre_YAUS!$B$17+Regre_YAUS!$B$18*C42</f>
        <v>4822.7758671537113</v>
      </c>
      <c r="G42" s="77">
        <f t="shared" si="0"/>
        <v>0.93981145399464205</v>
      </c>
    </row>
    <row r="43" spans="1:7" x14ac:dyDescent="0.35">
      <c r="A43" s="55" t="s">
        <v>1193</v>
      </c>
      <c r="B43" s="79" t="str">
        <f>LEFT(Tabla4[[#This Row],[Periodo]],2)</f>
        <v>Q2</v>
      </c>
      <c r="C43" s="79">
        <v>42</v>
      </c>
      <c r="D43" s="50">
        <v>4794.3590000000004</v>
      </c>
      <c r="E43" s="95">
        <f>(D41+D45+2*SUM(D42:D44))/COUNT(Tabla18[Demanda Dt])-4</f>
        <v>621.42057627118641</v>
      </c>
      <c r="F43" s="96">
        <f>Regre_YAUS!$B$17+Regre_YAUS!$B$18*C43</f>
        <v>4874.5051925189946</v>
      </c>
      <c r="G43" s="77">
        <f t="shared" si="0"/>
        <v>0.98355808654343091</v>
      </c>
    </row>
    <row r="44" spans="1:7" x14ac:dyDescent="0.35">
      <c r="A44" s="54" t="s">
        <v>1193</v>
      </c>
      <c r="B44" s="78" t="str">
        <f>LEFT(Tabla4[[#This Row],[Periodo]],2)</f>
        <v>Q3</v>
      </c>
      <c r="C44" s="78">
        <v>43</v>
      </c>
      <c r="D44" s="34">
        <v>4187.83</v>
      </c>
      <c r="E44" s="95">
        <f>(D42+D46+2*SUM(D43:D45))/COUNT(Tabla18[Demanda Dt])-4</f>
        <v>631.47349152542381</v>
      </c>
      <c r="F44" s="96">
        <f>Regre_YAUS!$B$17+Regre_YAUS!$B$18*C44</f>
        <v>4926.2345178842779</v>
      </c>
      <c r="G44" s="77">
        <f t="shared" si="0"/>
        <v>0.85010772118063749</v>
      </c>
    </row>
    <row r="45" spans="1:7" x14ac:dyDescent="0.35">
      <c r="A45" s="55" t="s">
        <v>1193</v>
      </c>
      <c r="B45" s="79" t="str">
        <f>LEFT(Tabla4[[#This Row],[Periodo]],2)</f>
        <v>Q4</v>
      </c>
      <c r="C45" s="79">
        <v>44</v>
      </c>
      <c r="D45" s="50">
        <v>5120.07</v>
      </c>
      <c r="E45" s="95">
        <f>(D43+D47+2*SUM(D44:D46))/COUNT(Tabla18[Demanda Dt])-4</f>
        <v>641.42962711864402</v>
      </c>
      <c r="F45" s="96">
        <f>Regre_YAUS!$B$17+Regre_YAUS!$B$18*C45</f>
        <v>4977.9638432495613</v>
      </c>
      <c r="G45" s="77">
        <f t="shared" si="0"/>
        <v>1.0285470447807981</v>
      </c>
    </row>
    <row r="46" spans="1:7" x14ac:dyDescent="0.35">
      <c r="A46" s="54" t="s">
        <v>1194</v>
      </c>
      <c r="B46" s="78" t="str">
        <f>LEFT(Tabla4[[#This Row],[Periodo]],2)</f>
        <v>Q1</v>
      </c>
      <c r="C46" s="78">
        <v>45</v>
      </c>
      <c r="D46" s="34">
        <v>4755.9179999999997</v>
      </c>
      <c r="E46" s="95">
        <f>(D44+D48+2*SUM(D45:D47))/COUNT(Tabla18[Demanda Dt])-4</f>
        <v>661.8243050847459</v>
      </c>
      <c r="F46" s="96">
        <f>Regre_YAUS!$B$17+Regre_YAUS!$B$18*C46</f>
        <v>5029.6931686148455</v>
      </c>
      <c r="G46" s="77">
        <f t="shared" si="0"/>
        <v>0.94556821670093205</v>
      </c>
    </row>
    <row r="47" spans="1:7" x14ac:dyDescent="0.35">
      <c r="A47" s="55" t="s">
        <v>1194</v>
      </c>
      <c r="B47" s="79" t="str">
        <f>LEFT(Tabla4[[#This Row],[Periodo]],2)</f>
        <v>Q2</v>
      </c>
      <c r="C47" s="79">
        <v>46</v>
      </c>
      <c r="D47" s="50">
        <v>5158.3530000000001</v>
      </c>
      <c r="E47" s="95">
        <f>(D45+D49+2*SUM(D46:D48))/COUNT(Tabla18[Demanda Dt])-4</f>
        <v>680.96835593220339</v>
      </c>
      <c r="F47" s="96">
        <f>Regre_YAUS!$B$17+Regre_YAUS!$B$18*C47</f>
        <v>5081.4224939801279</v>
      </c>
      <c r="G47" s="77">
        <f t="shared" si="0"/>
        <v>1.015139561040439</v>
      </c>
    </row>
    <row r="48" spans="1:7" x14ac:dyDescent="0.35">
      <c r="A48" s="54" t="s">
        <v>1194</v>
      </c>
      <c r="B48" s="78" t="str">
        <f>LEFT(Tabla4[[#This Row],[Periodo]],2)</f>
        <v>Q3</v>
      </c>
      <c r="C48" s="78">
        <v>47</v>
      </c>
      <c r="D48" s="34">
        <v>5027.1220000000003</v>
      </c>
      <c r="E48" s="95">
        <f>(D46+D50+2*SUM(D47:D49))/COUNT(Tabla18[Demanda Dt])-4</f>
        <v>696.57769491525426</v>
      </c>
      <c r="F48" s="96">
        <f>Regre_YAUS!$B$17+Regre_YAUS!$B$18*C48</f>
        <v>5133.1518193454122</v>
      </c>
      <c r="G48" s="77">
        <f t="shared" si="0"/>
        <v>0.97934410999771815</v>
      </c>
    </row>
    <row r="49" spans="1:7" x14ac:dyDescent="0.35">
      <c r="A49" s="55" t="s">
        <v>1194</v>
      </c>
      <c r="B49" s="79" t="str">
        <f>LEFT(Tabla4[[#This Row],[Periodo]],2)</f>
        <v>Q4</v>
      </c>
      <c r="C49" s="79">
        <v>48</v>
      </c>
      <c r="D49" s="50">
        <v>5410.277</v>
      </c>
      <c r="E49" s="95">
        <f>(D47+D51+2*SUM(D48:D50))/COUNT(Tabla18[Demanda Dt])-4</f>
        <v>713.79535593220351</v>
      </c>
      <c r="F49" s="96">
        <f>Regre_YAUS!$B$17+Regre_YAUS!$B$18*C49</f>
        <v>5184.8811447106955</v>
      </c>
      <c r="G49" s="77">
        <f t="shared" si="0"/>
        <v>1.0434717496888506</v>
      </c>
    </row>
    <row r="50" spans="1:7" x14ac:dyDescent="0.35">
      <c r="A50" s="54" t="s">
        <v>1195</v>
      </c>
      <c r="B50" s="78" t="str">
        <f>LEFT(Tabla4[[#This Row],[Periodo]],2)</f>
        <v>Q1</v>
      </c>
      <c r="C50" s="78">
        <v>49</v>
      </c>
      <c r="D50" s="34">
        <v>5386.6620000000003</v>
      </c>
      <c r="E50" s="95">
        <f>(D48+D52+2*SUM(D49:D51))/COUNT(Tabla18[Demanda Dt])-4</f>
        <v>732.82364406779664</v>
      </c>
      <c r="F50" s="96">
        <f>Regre_YAUS!$B$17+Regre_YAUS!$B$18*C50</f>
        <v>5236.6104700759788</v>
      </c>
      <c r="G50" s="77">
        <f t="shared" si="0"/>
        <v>1.0286543233989762</v>
      </c>
    </row>
    <row r="51" spans="1:7" x14ac:dyDescent="0.35">
      <c r="A51" s="55" t="s">
        <v>1195</v>
      </c>
      <c r="B51" s="79" t="str">
        <f>LEFT(Tabla4[[#This Row],[Periodo]],2)</f>
        <v>Q2</v>
      </c>
      <c r="C51" s="79">
        <v>50</v>
      </c>
      <c r="D51" s="50">
        <v>5543.451</v>
      </c>
      <c r="E51" s="95">
        <f>(D49+D53+2*SUM(D50:D52))/COUNT(Tabla18[Demanda Dt])-4</f>
        <v>758.20757627118644</v>
      </c>
      <c r="F51" s="96">
        <f>Regre_YAUS!$B$17+Regre_YAUS!$B$18*C51</f>
        <v>5288.3397954412621</v>
      </c>
      <c r="G51" s="77">
        <f t="shared" si="0"/>
        <v>1.0482403201054995</v>
      </c>
    </row>
    <row r="52" spans="1:7" x14ac:dyDescent="0.35">
      <c r="A52" s="54" t="s">
        <v>1195</v>
      </c>
      <c r="B52" s="78" t="str">
        <f>LEFT(Tabla4[[#This Row],[Periodo]],2)</f>
        <v>Q3</v>
      </c>
      <c r="C52" s="78">
        <v>51</v>
      </c>
      <c r="D52" s="34">
        <v>5764.6930000000002</v>
      </c>
      <c r="E52" s="95">
        <f>(D50+D54+2*SUM(D51:D53))/COUNT(Tabla18[Demanda Dt])-4</f>
        <v>782.8004067796611</v>
      </c>
      <c r="F52" s="96">
        <f>Regre_YAUS!$B$17+Regre_YAUS!$B$18*C52</f>
        <v>5340.0691208065455</v>
      </c>
      <c r="G52" s="77">
        <f t="shared" si="0"/>
        <v>1.0795165511133535</v>
      </c>
    </row>
    <row r="53" spans="1:7" x14ac:dyDescent="0.35">
      <c r="A53" s="55" t="s">
        <v>1195</v>
      </c>
      <c r="B53" s="79" t="str">
        <f>LEFT(Tabla4[[#This Row],[Periodo]],2)</f>
        <v>Q4</v>
      </c>
      <c r="C53" s="79">
        <v>52</v>
      </c>
      <c r="D53" s="50">
        <v>6170.3580000000002</v>
      </c>
      <c r="E53" s="95">
        <f>(D51+D55+2*SUM(D52:D54))/COUNT(Tabla18[Demanda Dt])-4</f>
        <v>808.10467796610169</v>
      </c>
      <c r="F53" s="96">
        <f>Regre_YAUS!$B$17+Regre_YAUS!$B$18*C53</f>
        <v>5391.7984461718297</v>
      </c>
      <c r="G53" s="77">
        <f t="shared" si="0"/>
        <v>1.144397006231</v>
      </c>
    </row>
    <row r="54" spans="1:7" x14ac:dyDescent="0.35">
      <c r="A54" s="54" t="s">
        <v>1196</v>
      </c>
      <c r="B54" s="78" t="str">
        <f>LEFT(Tabla4[[#This Row],[Periodo]],2)</f>
        <v>Q1</v>
      </c>
      <c r="C54" s="78">
        <v>53</v>
      </c>
      <c r="D54" s="34">
        <v>6077.558</v>
      </c>
      <c r="E54" s="95">
        <f>(D52+D56+2*SUM(D53:D55))/COUNT(Tabla18[Demanda Dt])-4</f>
        <v>832.37888135593232</v>
      </c>
      <c r="F54" s="96">
        <f>Regre_YAUS!$B$17+Regre_YAUS!$B$18*C54</f>
        <v>5443.5277715371121</v>
      </c>
      <c r="G54" s="77">
        <f t="shared" si="0"/>
        <v>1.1164741423343292</v>
      </c>
    </row>
    <row r="55" spans="1:7" x14ac:dyDescent="0.35">
      <c r="A55" s="55" t="s">
        <v>1196</v>
      </c>
      <c r="B55" s="79" t="str">
        <f>LEFT(Tabla4[[#This Row],[Periodo]],2)</f>
        <v>Q2</v>
      </c>
      <c r="C55" s="79">
        <v>54</v>
      </c>
      <c r="D55" s="50">
        <v>6345.5069999999996</v>
      </c>
      <c r="E55" s="95">
        <f>(D53+D57+2*SUM(D54:D56))/COUNT(Tabla18[Demanda Dt])-4</f>
        <v>835.842474576271</v>
      </c>
      <c r="F55" s="96">
        <f>Regre_YAUS!$B$17+Regre_YAUS!$B$18*C55</f>
        <v>5495.2570969023964</v>
      </c>
      <c r="G55" s="77">
        <f t="shared" si="0"/>
        <v>1.1547243173712252</v>
      </c>
    </row>
    <row r="56" spans="1:7" x14ac:dyDescent="0.35">
      <c r="A56" s="54" t="s">
        <v>1196</v>
      </c>
      <c r="B56" s="78" t="str">
        <f>LEFT(Tabla4[[#This Row],[Periodo]],2)</f>
        <v>Q3</v>
      </c>
      <c r="C56" s="78">
        <v>55</v>
      </c>
      <c r="D56" s="34">
        <v>6394.8150000000005</v>
      </c>
      <c r="E56" s="95">
        <f>(D54+D58+2*SUM(D55:D57))/COUNT(Tabla18[Demanda Dt])-4</f>
        <v>838.84161016949156</v>
      </c>
      <c r="F56" s="96">
        <f>Regre_YAUS!$B$17+Regre_YAUS!$B$18*C56</f>
        <v>5546.9864222676788</v>
      </c>
      <c r="G56" s="77">
        <f t="shared" si="0"/>
        <v>1.1528448986874784</v>
      </c>
    </row>
    <row r="57" spans="1:7" x14ac:dyDescent="0.35">
      <c r="A57" s="55" t="s">
        <v>1196</v>
      </c>
      <c r="B57" s="79" t="str">
        <f>LEFT(Tabla4[[#This Row],[Periodo]],2)</f>
        <v>Q4</v>
      </c>
      <c r="C57" s="79">
        <v>56</v>
      </c>
      <c r="D57" s="50">
        <v>5744.5879999999997</v>
      </c>
      <c r="E57" s="95">
        <f>(D55+D59+2*SUM(D56:D58))/COUNT(Tabla18[Demanda Dt])-4</f>
        <v>825.66877966101697</v>
      </c>
      <c r="F57" s="96">
        <f>Regre_YAUS!$B$17+Regre_YAUS!$B$18*C57</f>
        <v>5598.715747632963</v>
      </c>
      <c r="G57" s="77">
        <f t="shared" si="0"/>
        <v>1.0260545916139265</v>
      </c>
    </row>
    <row r="58" spans="1:7" x14ac:dyDescent="0.35">
      <c r="A58" s="54" t="s">
        <v>1197</v>
      </c>
      <c r="B58" s="78" t="str">
        <f>LEFT(Tabla4[[#This Row],[Periodo]],2)</f>
        <v>Q1</v>
      </c>
      <c r="C58" s="78">
        <v>57</v>
      </c>
      <c r="D58" s="34">
        <v>6680.277</v>
      </c>
      <c r="E58" s="95">
        <f>(D56+D60+2*SUM(D57:D59))/COUNT(Tabla18[Demanda Dt])-4</f>
        <v>779.83616949152531</v>
      </c>
      <c r="F58" s="96">
        <f>Regre_YAUS!$B$17+Regre_YAUS!$B$18*C58</f>
        <v>5650.4450729982464</v>
      </c>
      <c r="G58" s="77">
        <f t="shared" si="0"/>
        <v>1.182256780430095</v>
      </c>
    </row>
    <row r="59" spans="1:7" x14ac:dyDescent="0.35">
      <c r="A59" s="55" t="s">
        <v>1197</v>
      </c>
      <c r="B59" s="79" t="str">
        <f>LEFT(Tabla4[[#This Row],[Periodo]],2)</f>
        <v>Q2</v>
      </c>
      <c r="C59" s="79">
        <v>58</v>
      </c>
      <c r="D59" s="50">
        <v>4965.5910000000003</v>
      </c>
      <c r="E59" s="64"/>
      <c r="F59" s="96">
        <f>Regre_YAUS!$B$17+Regre_YAUS!$B$18*C59</f>
        <v>5702.1743983635297</v>
      </c>
      <c r="G59" s="77">
        <f t="shared" si="0"/>
        <v>0.87082411955430161</v>
      </c>
    </row>
    <row r="60" spans="1:7" x14ac:dyDescent="0.35">
      <c r="A60" s="54" t="s">
        <v>1197</v>
      </c>
      <c r="B60" s="78" t="str">
        <f>LEFT(Tabla4[[#This Row],[Periodo]],2)</f>
        <v>Q3</v>
      </c>
      <c r="C60" s="78">
        <v>59</v>
      </c>
      <c r="D60" s="34">
        <v>5070.607</v>
      </c>
      <c r="E60" s="64"/>
      <c r="F60" s="96">
        <f>Regre_YAUS!$B$17+Regre_YAUS!$B$18*C60</f>
        <v>5753.9037237288139</v>
      </c>
      <c r="G60" s="77">
        <f t="shared" si="0"/>
        <v>0.88124640999623749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44D7-CC0C-4E1D-A583-AD9218741591}">
  <dimension ref="A1:I18"/>
  <sheetViews>
    <sheetView workbookViewId="0">
      <selection activeCell="H39" sqref="H39"/>
    </sheetView>
  </sheetViews>
  <sheetFormatPr baseColWidth="10" defaultRowHeight="14.5" x14ac:dyDescent="0.35"/>
  <sheetData>
    <row r="1" spans="1:9" x14ac:dyDescent="0.35">
      <c r="A1" t="s">
        <v>1206</v>
      </c>
    </row>
    <row r="2" spans="1:9" ht="15" thickBot="1" x14ac:dyDescent="0.4"/>
    <row r="3" spans="1:9" x14ac:dyDescent="0.35">
      <c r="A3" s="59" t="s">
        <v>1207</v>
      </c>
      <c r="B3" s="59"/>
    </row>
    <row r="4" spans="1:9" x14ac:dyDescent="0.35">
      <c r="A4" t="s">
        <v>1208</v>
      </c>
      <c r="B4">
        <v>0.87336620032287571</v>
      </c>
    </row>
    <row r="5" spans="1:9" x14ac:dyDescent="0.35">
      <c r="A5" t="s">
        <v>1209</v>
      </c>
      <c r="B5">
        <v>0.76276851986641747</v>
      </c>
    </row>
    <row r="6" spans="1:9" x14ac:dyDescent="0.35">
      <c r="A6" t="s">
        <v>1210</v>
      </c>
      <c r="B6">
        <v>0.75860656407460025</v>
      </c>
    </row>
    <row r="7" spans="1:9" x14ac:dyDescent="0.35">
      <c r="A7" t="s">
        <v>1211</v>
      </c>
      <c r="B7">
        <v>499.82062152109449</v>
      </c>
    </row>
    <row r="8" spans="1:9" ht="15" thickBot="1" x14ac:dyDescent="0.4">
      <c r="A8" s="57" t="s">
        <v>1212</v>
      </c>
      <c r="B8" s="57">
        <v>59</v>
      </c>
    </row>
    <row r="10" spans="1:9" ht="15" thickBot="1" x14ac:dyDescent="0.4">
      <c r="A10" t="s">
        <v>1213</v>
      </c>
    </row>
    <row r="11" spans="1:9" x14ac:dyDescent="0.35">
      <c r="A11" s="58"/>
      <c r="B11" s="58" t="s">
        <v>1217</v>
      </c>
      <c r="C11" s="58" t="s">
        <v>1218</v>
      </c>
      <c r="D11" s="58" t="s">
        <v>1219</v>
      </c>
      <c r="E11" s="58" t="s">
        <v>1220</v>
      </c>
      <c r="F11" s="58" t="s">
        <v>1221</v>
      </c>
    </row>
    <row r="12" spans="1:9" x14ac:dyDescent="0.35">
      <c r="A12" t="s">
        <v>1214</v>
      </c>
      <c r="B12">
        <v>1</v>
      </c>
      <c r="C12">
        <v>45785044.288007319</v>
      </c>
      <c r="D12">
        <v>45785044.288007319</v>
      </c>
      <c r="E12">
        <v>183.27165352550975</v>
      </c>
      <c r="F12">
        <v>1.8666013900049335E-19</v>
      </c>
    </row>
    <row r="13" spans="1:9" x14ac:dyDescent="0.35">
      <c r="A13" t="s">
        <v>1215</v>
      </c>
      <c r="B13">
        <v>57</v>
      </c>
      <c r="C13">
        <v>14239777.260770794</v>
      </c>
      <c r="D13">
        <v>249820.65369773321</v>
      </c>
    </row>
    <row r="14" spans="1:9" ht="15" thickBot="1" x14ac:dyDescent="0.4">
      <c r="A14" s="57" t="s">
        <v>1181</v>
      </c>
      <c r="B14" s="57">
        <v>58</v>
      </c>
      <c r="C14" s="57">
        <v>60024821.548778117</v>
      </c>
      <c r="D14" s="57"/>
      <c r="E14" s="57"/>
      <c r="F14" s="57"/>
    </row>
    <row r="15" spans="1:9" ht="15" thickBot="1" x14ac:dyDescent="0.4"/>
    <row r="16" spans="1:9" x14ac:dyDescent="0.35">
      <c r="A16" s="58"/>
      <c r="B16" s="58" t="s">
        <v>1222</v>
      </c>
      <c r="C16" s="58" t="s">
        <v>1211</v>
      </c>
      <c r="D16" s="58" t="s">
        <v>1223</v>
      </c>
      <c r="E16" s="58" t="s">
        <v>1224</v>
      </c>
      <c r="F16" s="58" t="s">
        <v>1225</v>
      </c>
      <c r="G16" s="58" t="s">
        <v>1226</v>
      </c>
      <c r="H16" s="58" t="s">
        <v>1227</v>
      </c>
      <c r="I16" s="58" t="s">
        <v>1228</v>
      </c>
    </row>
    <row r="17" spans="1:9" x14ac:dyDescent="0.35">
      <c r="A17" t="s">
        <v>1216</v>
      </c>
      <c r="B17" s="63">
        <v>2701.8735271770893</v>
      </c>
      <c r="C17">
        <v>131.81433595876106</v>
      </c>
      <c r="D17">
        <v>20.497569612021465</v>
      </c>
      <c r="E17">
        <v>5.6167955624739827E-28</v>
      </c>
      <c r="F17">
        <v>2437.9198723802897</v>
      </c>
      <c r="G17">
        <v>2965.8271819738889</v>
      </c>
      <c r="H17">
        <v>2437.9198723802897</v>
      </c>
      <c r="I17">
        <v>2965.8271819738889</v>
      </c>
    </row>
    <row r="18" spans="1:9" ht="15" thickBot="1" x14ac:dyDescent="0.4">
      <c r="A18" s="57" t="s">
        <v>1088</v>
      </c>
      <c r="B18" s="62">
        <v>51.729325365283458</v>
      </c>
      <c r="C18" s="57">
        <v>3.821106703632533</v>
      </c>
      <c r="D18" s="57">
        <v>13.537786138269052</v>
      </c>
      <c r="E18" s="57">
        <v>1.8666013900049472E-19</v>
      </c>
      <c r="F18" s="57">
        <v>44.077691174993994</v>
      </c>
      <c r="G18" s="57">
        <v>59.380959555572922</v>
      </c>
      <c r="H18" s="57">
        <v>44.077691174993994</v>
      </c>
      <c r="I18" s="57">
        <v>59.380959555572922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B957-09CF-434E-970E-C147CA2A9CB6}">
  <dimension ref="A1:R60"/>
  <sheetViews>
    <sheetView workbookViewId="0">
      <pane ySplit="1" topLeftCell="A2" activePane="bottomLeft" state="frozen"/>
      <selection pane="bottomLeft" activeCell="N24" sqref="N24"/>
    </sheetView>
  </sheetViews>
  <sheetFormatPr baseColWidth="10" defaultRowHeight="14.5" x14ac:dyDescent="0.35"/>
  <cols>
    <col min="2" max="2" width="13.54296875" customWidth="1"/>
    <col min="3" max="3" width="13.90625" customWidth="1"/>
    <col min="4" max="4" width="14.1796875" customWidth="1"/>
    <col min="6" max="6" width="17.08984375" customWidth="1"/>
    <col min="7" max="7" width="9" customWidth="1"/>
    <col min="13" max="13" width="16.36328125" customWidth="1"/>
  </cols>
  <sheetData>
    <row r="1" spans="1:18" ht="43.5" x14ac:dyDescent="0.35">
      <c r="A1" s="88" t="s">
        <v>1088</v>
      </c>
      <c r="B1" s="88" t="s">
        <v>1247</v>
      </c>
      <c r="C1" s="89" t="s">
        <v>1248</v>
      </c>
      <c r="D1" s="89" t="s">
        <v>1249</v>
      </c>
      <c r="E1" s="89" t="s">
        <v>1250</v>
      </c>
      <c r="F1" s="90" t="s">
        <v>1251</v>
      </c>
      <c r="G1" s="89" t="s">
        <v>1252</v>
      </c>
      <c r="H1" s="89" t="s">
        <v>1253</v>
      </c>
      <c r="I1" s="89" t="s">
        <v>1254</v>
      </c>
      <c r="J1" s="89" t="s">
        <v>1255</v>
      </c>
      <c r="K1" s="89" t="s">
        <v>1256</v>
      </c>
    </row>
    <row r="2" spans="1:18" x14ac:dyDescent="0.35">
      <c r="A2" s="78">
        <v>1</v>
      </c>
      <c r="B2" s="34">
        <v>3223.5839999999998</v>
      </c>
    </row>
    <row r="3" spans="1:18" x14ac:dyDescent="0.35">
      <c r="A3" s="79">
        <v>2</v>
      </c>
      <c r="B3" s="50">
        <v>3472.9369999999999</v>
      </c>
    </row>
    <row r="4" spans="1:18" x14ac:dyDescent="0.35">
      <c r="A4" s="78">
        <v>3</v>
      </c>
      <c r="B4" s="34">
        <v>3369.4650000000001</v>
      </c>
    </row>
    <row r="5" spans="1:18" x14ac:dyDescent="0.35">
      <c r="A5" s="79">
        <v>4</v>
      </c>
      <c r="B5" s="50">
        <v>3601.0940000000001</v>
      </c>
      <c r="C5">
        <f>AVERAGE(B2:B5)</f>
        <v>3416.7700000000004</v>
      </c>
      <c r="M5" s="66" t="s">
        <v>1257</v>
      </c>
      <c r="N5" s="66" t="s">
        <v>1253</v>
      </c>
      <c r="O5" s="66" t="s">
        <v>1258</v>
      </c>
      <c r="P5" s="66" t="s">
        <v>1259</v>
      </c>
      <c r="Q5" s="66" t="s">
        <v>1260</v>
      </c>
      <c r="R5" s="66" t="s">
        <v>1261</v>
      </c>
    </row>
    <row r="6" spans="1:18" x14ac:dyDescent="0.35">
      <c r="A6" s="78">
        <v>5</v>
      </c>
      <c r="B6" s="34">
        <v>3627.9300000000003</v>
      </c>
      <c r="C6">
        <f t="shared" ref="C6:C60" si="0">AVERAGE(B3:B6)</f>
        <v>3517.8564999999999</v>
      </c>
      <c r="D6">
        <f>C6</f>
        <v>3517.8564999999999</v>
      </c>
      <c r="E6">
        <f>D6-B6</f>
        <v>-110.07350000000042</v>
      </c>
      <c r="F6">
        <f>ABS(E7)</f>
        <v>192.51924999999937</v>
      </c>
      <c r="G6">
        <f>SUMSQ($E$6:E6)/(A6-4)</f>
        <v>12116.175402250094</v>
      </c>
      <c r="H6">
        <f>SUM($F$6:F6)/(A6-4)</f>
        <v>192.51924999999937</v>
      </c>
      <c r="I6">
        <f t="shared" ref="I6:I33" si="1">100*(F6/B6)</f>
        <v>5.3065866761486395</v>
      </c>
      <c r="J6">
        <f>AVERAGE($I$6:I6)</f>
        <v>5.3065866761486395</v>
      </c>
      <c r="K6">
        <f>SUM($E$6:E6)/H6</f>
        <v>-0.57175321428896475</v>
      </c>
      <c r="M6" s="66" t="s">
        <v>1262</v>
      </c>
      <c r="N6" s="91">
        <f>H60</f>
        <v>264.08944999999994</v>
      </c>
      <c r="O6" s="91">
        <f>J60</f>
        <v>6.5086268364262763</v>
      </c>
      <c r="P6" s="94">
        <f>MIN(K6:K60)</f>
        <v>-17.125164921382506</v>
      </c>
      <c r="Q6" s="92">
        <f>MAX(K6:K60)</f>
        <v>4.5232173682207222</v>
      </c>
      <c r="R6" s="93">
        <f>1.25*N6</f>
        <v>330.11181249999993</v>
      </c>
    </row>
    <row r="7" spans="1:18" x14ac:dyDescent="0.35">
      <c r="A7" s="79">
        <v>6</v>
      </c>
      <c r="B7" s="50">
        <v>3789.5219999999999</v>
      </c>
      <c r="C7">
        <f t="shared" si="0"/>
        <v>3597.0027500000006</v>
      </c>
      <c r="D7">
        <f t="shared" ref="D7:D60" si="2">C7</f>
        <v>3597.0027500000006</v>
      </c>
      <c r="E7">
        <f t="shared" ref="E7:E60" si="3">D7-B7</f>
        <v>-192.51924999999937</v>
      </c>
      <c r="F7">
        <f t="shared" ref="F7:F60" si="4">ABS(E8)</f>
        <v>90.404499999999643</v>
      </c>
      <c r="G7">
        <f>SUMSQ($E$6:E7)/(A7-4)</f>
        <v>24589.918511406177</v>
      </c>
      <c r="H7">
        <f>SUM($F$6:F7)/(A7-4)</f>
        <v>141.46187499999951</v>
      </c>
      <c r="I7">
        <f t="shared" si="1"/>
        <v>2.3856438885959665</v>
      </c>
      <c r="J7">
        <f>AVERAGE($I$6:I7)</f>
        <v>3.846115282372303</v>
      </c>
      <c r="K7">
        <f>SUM($E$6:E7)/H7</f>
        <v>-2.1390409960280876</v>
      </c>
    </row>
    <row r="8" spans="1:18" x14ac:dyDescent="0.35">
      <c r="A8" s="78">
        <v>7</v>
      </c>
      <c r="B8" s="34">
        <v>3793.3879999999999</v>
      </c>
      <c r="C8">
        <f t="shared" si="0"/>
        <v>3702.9835000000003</v>
      </c>
      <c r="D8">
        <f t="shared" si="2"/>
        <v>3702.9835000000003</v>
      </c>
      <c r="E8">
        <f t="shared" si="3"/>
        <v>-90.404499999999643</v>
      </c>
      <c r="F8">
        <f t="shared" si="4"/>
        <v>483.22175000000016</v>
      </c>
      <c r="G8">
        <f>SUMSQ($E$6:E8)/(A8-4)</f>
        <v>19117.603547687428</v>
      </c>
      <c r="H8">
        <f>SUM($F$6:F8)/(A8-4)</f>
        <v>255.38183333333305</v>
      </c>
      <c r="I8">
        <f t="shared" si="1"/>
        <v>12.738526878874509</v>
      </c>
      <c r="J8">
        <f>AVERAGE($I$6:I8)</f>
        <v>6.8102524812063718</v>
      </c>
      <c r="K8">
        <f>SUM($E$6:E8)/H8</f>
        <v>-1.5388614173156399</v>
      </c>
    </row>
    <row r="9" spans="1:18" x14ac:dyDescent="0.35">
      <c r="A9" s="79">
        <v>8</v>
      </c>
      <c r="B9" s="50">
        <v>3092.6509999999998</v>
      </c>
      <c r="C9">
        <f t="shared" si="0"/>
        <v>3575.87275</v>
      </c>
      <c r="D9">
        <f t="shared" si="2"/>
        <v>3575.87275</v>
      </c>
      <c r="E9">
        <f t="shared" si="3"/>
        <v>483.22175000000016</v>
      </c>
      <c r="F9">
        <f t="shared" si="4"/>
        <v>293.28699999999981</v>
      </c>
      <c r="G9">
        <f>SUMSQ($E$6:E9)/(A9-4)</f>
        <v>72714.017579031235</v>
      </c>
      <c r="H9">
        <f>SUM($F$6:F9)/(A9-4)</f>
        <v>264.85812499999975</v>
      </c>
      <c r="I9">
        <f t="shared" si="1"/>
        <v>9.4833526317712487</v>
      </c>
      <c r="J9">
        <f>AVERAGE($I$6:I9)</f>
        <v>7.4785275188475904</v>
      </c>
      <c r="K9">
        <f>SUM($E$6:E9)/H9</f>
        <v>0.34065218878975606</v>
      </c>
    </row>
    <row r="10" spans="1:18" x14ac:dyDescent="0.35">
      <c r="A10" s="78">
        <v>9</v>
      </c>
      <c r="B10" s="34">
        <v>3167.471</v>
      </c>
      <c r="C10">
        <f t="shared" si="0"/>
        <v>3460.7579999999998</v>
      </c>
      <c r="D10">
        <f t="shared" si="2"/>
        <v>3460.7579999999998</v>
      </c>
      <c r="E10">
        <f t="shared" si="3"/>
        <v>293.28699999999981</v>
      </c>
      <c r="F10">
        <f t="shared" si="4"/>
        <v>45.036750000000211</v>
      </c>
      <c r="G10">
        <f>SUMSQ($E$6:E10)/(A10-4)</f>
        <v>75374.666937024958</v>
      </c>
      <c r="H10">
        <f>SUM($F$6:F10)/(A10-4)</f>
        <v>220.89384999999984</v>
      </c>
      <c r="I10">
        <f t="shared" si="1"/>
        <v>1.4218520074848422</v>
      </c>
      <c r="J10">
        <f>AVERAGE($I$6:I10)</f>
        <v>6.2671924165750408</v>
      </c>
      <c r="K10">
        <f>SUM($E$6:E10)/H10</f>
        <v>1.7361800702011432</v>
      </c>
    </row>
    <row r="11" spans="1:18" x14ac:dyDescent="0.35">
      <c r="A11" s="79">
        <v>10</v>
      </c>
      <c r="B11" s="50">
        <v>3291.1210000000001</v>
      </c>
      <c r="C11">
        <f t="shared" si="0"/>
        <v>3336.1577500000003</v>
      </c>
      <c r="D11">
        <f t="shared" si="2"/>
        <v>3336.1577500000003</v>
      </c>
      <c r="E11">
        <f t="shared" si="3"/>
        <v>45.036750000000211</v>
      </c>
      <c r="F11">
        <f t="shared" si="4"/>
        <v>96.21100000000024</v>
      </c>
      <c r="G11">
        <f>SUMSQ($E$6:E11)/(A11-4)</f>
        <v>63150.27392261455</v>
      </c>
      <c r="H11">
        <f>SUM($F$6:F11)/(A11-4)</f>
        <v>200.11337499999991</v>
      </c>
      <c r="I11">
        <f t="shared" si="1"/>
        <v>2.9233504328768296</v>
      </c>
      <c r="J11">
        <f>AVERAGE($I$6:I11)</f>
        <v>5.7098854192920045</v>
      </c>
      <c r="K11">
        <f>SUM($E$6:E11)/H11</f>
        <v>2.1415272717278442</v>
      </c>
    </row>
    <row r="12" spans="1:18" x14ac:dyDescent="0.35">
      <c r="A12" s="78">
        <v>11</v>
      </c>
      <c r="B12" s="34">
        <v>3312.029</v>
      </c>
      <c r="C12">
        <f t="shared" si="0"/>
        <v>3215.8179999999998</v>
      </c>
      <c r="D12">
        <f t="shared" si="2"/>
        <v>3215.8179999999998</v>
      </c>
      <c r="E12">
        <f t="shared" si="3"/>
        <v>-96.21100000000024</v>
      </c>
      <c r="F12">
        <f t="shared" si="4"/>
        <v>672.10400000000027</v>
      </c>
      <c r="G12">
        <f>SUMSQ($E$6:E12)/(A12-4)</f>
        <v>55451.171436669618</v>
      </c>
      <c r="H12">
        <f>SUM($F$6:F12)/(A12-4)</f>
        <v>267.54060714285708</v>
      </c>
      <c r="I12">
        <f t="shared" si="1"/>
        <v>20.292817484387975</v>
      </c>
      <c r="J12">
        <f>AVERAGE($I$6:I12)</f>
        <v>7.7931614285914295</v>
      </c>
      <c r="K12">
        <f>SUM($E$6:E12)/H12</f>
        <v>1.2421936750055453</v>
      </c>
    </row>
    <row r="13" spans="1:18" x14ac:dyDescent="0.35">
      <c r="A13" s="79">
        <v>12</v>
      </c>
      <c r="B13" s="50">
        <v>2360.7350000000001</v>
      </c>
      <c r="C13">
        <f t="shared" si="0"/>
        <v>3032.8390000000004</v>
      </c>
      <c r="D13">
        <f t="shared" si="2"/>
        <v>3032.8390000000004</v>
      </c>
      <c r="E13">
        <f t="shared" si="3"/>
        <v>672.10400000000027</v>
      </c>
      <c r="F13">
        <f t="shared" si="4"/>
        <v>69.019249999999829</v>
      </c>
      <c r="G13">
        <f>SUMSQ($E$6:E13)/(A13-4)</f>
        <v>104985.24835908596</v>
      </c>
      <c r="H13">
        <f>SUM($F$6:F13)/(A13-4)</f>
        <v>242.72543749999994</v>
      </c>
      <c r="I13">
        <f t="shared" si="1"/>
        <v>2.9236339529849742</v>
      </c>
      <c r="J13">
        <f>AVERAGE($I$6:I13)</f>
        <v>7.1844704941406219</v>
      </c>
      <c r="K13">
        <f>SUM($E$6:E13)/H13</f>
        <v>4.1381787601062658</v>
      </c>
    </row>
    <row r="14" spans="1:18" x14ac:dyDescent="0.35">
      <c r="A14" s="78">
        <v>13</v>
      </c>
      <c r="B14" s="34">
        <v>2895.9360000000001</v>
      </c>
      <c r="C14">
        <f t="shared" si="0"/>
        <v>2964.95525</v>
      </c>
      <c r="D14">
        <f t="shared" si="2"/>
        <v>2964.95525</v>
      </c>
      <c r="E14">
        <f t="shared" si="3"/>
        <v>69.019249999999829</v>
      </c>
      <c r="F14">
        <f t="shared" si="4"/>
        <v>194.09749999999985</v>
      </c>
      <c r="G14">
        <f>SUMSQ($E$6:E14)/(A14-4)</f>
        <v>93849.515971472239</v>
      </c>
      <c r="H14">
        <f>SUM($F$6:F14)/(A14-4)</f>
        <v>237.32233333333326</v>
      </c>
      <c r="I14">
        <f t="shared" si="1"/>
        <v>6.7024098598864006</v>
      </c>
      <c r="J14">
        <f>AVERAGE($I$6:I14)</f>
        <v>7.1309082014457079</v>
      </c>
      <c r="K14">
        <f>SUM($E$6:E14)/H14</f>
        <v>4.5232173682207222</v>
      </c>
    </row>
    <row r="15" spans="1:18" x14ac:dyDescent="0.35">
      <c r="A15" s="79">
        <v>14</v>
      </c>
      <c r="B15" s="50">
        <v>3115.0299999999997</v>
      </c>
      <c r="C15">
        <f t="shared" si="0"/>
        <v>2920.9324999999999</v>
      </c>
      <c r="D15">
        <f t="shared" si="2"/>
        <v>2920.9324999999999</v>
      </c>
      <c r="E15">
        <f t="shared" si="3"/>
        <v>-194.09749999999985</v>
      </c>
      <c r="F15">
        <f t="shared" si="4"/>
        <v>933.97574999999961</v>
      </c>
      <c r="G15">
        <f>SUMSQ($E$6:E15)/(A15-4)</f>
        <v>88231.948324950019</v>
      </c>
      <c r="H15">
        <f>SUM($F$6:F15)/(A15-4)</f>
        <v>306.98767499999991</v>
      </c>
      <c r="I15">
        <f t="shared" si="1"/>
        <v>29.982881384769961</v>
      </c>
      <c r="J15">
        <f>AVERAGE($I$6:I15)</f>
        <v>9.4161055197781334</v>
      </c>
      <c r="K15">
        <f>SUM($E$6:E15)/H15</f>
        <v>2.864489592293896</v>
      </c>
    </row>
    <row r="16" spans="1:18" x14ac:dyDescent="0.35">
      <c r="A16" s="78">
        <v>15</v>
      </c>
      <c r="B16" s="34">
        <v>4035.8679999999999</v>
      </c>
      <c r="C16">
        <f t="shared" si="0"/>
        <v>3101.8922500000003</v>
      </c>
      <c r="D16">
        <f t="shared" si="2"/>
        <v>3101.8922500000003</v>
      </c>
      <c r="E16">
        <f t="shared" si="3"/>
        <v>-933.97574999999961</v>
      </c>
      <c r="F16">
        <f t="shared" si="4"/>
        <v>388.10075000000052</v>
      </c>
      <c r="G16">
        <f>SUMSQ($E$6:E16)/(A16-4)</f>
        <v>159511.83498523291</v>
      </c>
      <c r="H16">
        <f>SUM($F$6:F16)/(A16-4)</f>
        <v>314.36159090909086</v>
      </c>
      <c r="I16">
        <f t="shared" si="1"/>
        <v>9.6162894822130092</v>
      </c>
      <c r="J16">
        <f>AVERAGE($I$6:I16)</f>
        <v>9.4343040618176683</v>
      </c>
      <c r="K16">
        <f>SUM($E$6:E16)/H16</f>
        <v>-0.17372589902623359</v>
      </c>
    </row>
    <row r="17" spans="1:11" x14ac:dyDescent="0.35">
      <c r="A17" s="79">
        <v>16</v>
      </c>
      <c r="B17" s="50">
        <v>2831.4769999999999</v>
      </c>
      <c r="C17">
        <f t="shared" si="0"/>
        <v>3219.5777500000004</v>
      </c>
      <c r="D17">
        <f t="shared" si="2"/>
        <v>3219.5777500000004</v>
      </c>
      <c r="E17">
        <f t="shared" si="3"/>
        <v>388.10075000000052</v>
      </c>
      <c r="F17">
        <f t="shared" si="4"/>
        <v>429.71225000000004</v>
      </c>
      <c r="G17">
        <f>SUMSQ($E$6:E17)/(A17-4)</f>
        <v>158771.03141567708</v>
      </c>
      <c r="H17">
        <f>SUM($F$6:F17)/(A17-4)</f>
        <v>323.9741458333333</v>
      </c>
      <c r="I17">
        <f t="shared" si="1"/>
        <v>15.176257832926069</v>
      </c>
      <c r="J17">
        <f>AVERAGE($I$6:I17)</f>
        <v>9.9128002094100349</v>
      </c>
      <c r="K17">
        <f>SUM($E$6:E17)/H17</f>
        <v>1.0293660907483733</v>
      </c>
    </row>
    <row r="18" spans="1:11" x14ac:dyDescent="0.35">
      <c r="A18" s="78">
        <v>17</v>
      </c>
      <c r="B18" s="34">
        <v>3900.4079999999999</v>
      </c>
      <c r="C18">
        <f t="shared" si="0"/>
        <v>3470.6957499999999</v>
      </c>
      <c r="D18">
        <f t="shared" si="2"/>
        <v>3470.6957499999999</v>
      </c>
      <c r="E18">
        <f t="shared" si="3"/>
        <v>-429.71225000000004</v>
      </c>
      <c r="F18">
        <f t="shared" si="4"/>
        <v>429.31574999999975</v>
      </c>
      <c r="G18">
        <f>SUMSQ($E$6:E18)/(A18-4)</f>
        <v>160761.92267601442</v>
      </c>
      <c r="H18">
        <f>SUM($F$6:F18)/(A18-4)</f>
        <v>332.07734615384612</v>
      </c>
      <c r="I18">
        <f t="shared" si="1"/>
        <v>11.0069446580973</v>
      </c>
      <c r="J18">
        <f>AVERAGE($I$6:I18)</f>
        <v>9.9969651670013615</v>
      </c>
      <c r="K18">
        <f>SUM($E$6:E18)/H18</f>
        <v>-0.2897645717616017</v>
      </c>
    </row>
    <row r="19" spans="1:11" x14ac:dyDescent="0.35">
      <c r="A19" s="79">
        <v>18</v>
      </c>
      <c r="B19" s="50">
        <v>3016.83</v>
      </c>
      <c r="C19">
        <f t="shared" si="0"/>
        <v>3446.1457499999997</v>
      </c>
      <c r="D19">
        <f t="shared" si="2"/>
        <v>3446.1457499999997</v>
      </c>
      <c r="E19">
        <f t="shared" si="3"/>
        <v>429.31574999999975</v>
      </c>
      <c r="F19">
        <f t="shared" si="4"/>
        <v>686.6574999999998</v>
      </c>
      <c r="G19">
        <f>SUMSQ($E$6:E19)/(A19-4)</f>
        <v>162444.07199901785</v>
      </c>
      <c r="H19">
        <f>SUM($F$6:F19)/(A19-4)</f>
        <v>357.40449999999993</v>
      </c>
      <c r="I19">
        <f t="shared" si="1"/>
        <v>22.760894713987856</v>
      </c>
      <c r="J19">
        <f>AVERAGE($I$6:I19)</f>
        <v>10.90867442035754</v>
      </c>
      <c r="K19">
        <f>SUM($E$6:E19)/H19</f>
        <v>0.93197343626059947</v>
      </c>
    </row>
    <row r="20" spans="1:11" x14ac:dyDescent="0.35">
      <c r="A20" s="78">
        <v>19</v>
      </c>
      <c r="B20" s="34">
        <v>4165.1149999999998</v>
      </c>
      <c r="C20">
        <f t="shared" si="0"/>
        <v>3478.4575</v>
      </c>
      <c r="D20">
        <f t="shared" si="2"/>
        <v>3478.4575</v>
      </c>
      <c r="E20">
        <f t="shared" si="3"/>
        <v>-686.6574999999998</v>
      </c>
      <c r="F20">
        <f t="shared" si="4"/>
        <v>586.64749999999958</v>
      </c>
      <c r="G20">
        <f>SUMSQ($E$6:E20)/(A20-4)</f>
        <v>183047.70201949999</v>
      </c>
      <c r="H20">
        <f>SUM($F$6:F20)/(A20-4)</f>
        <v>372.68736666666649</v>
      </c>
      <c r="I20">
        <f t="shared" si="1"/>
        <v>14.084785173998787</v>
      </c>
      <c r="J20">
        <f>AVERAGE($I$6:I20)</f>
        <v>11.120415137266956</v>
      </c>
      <c r="K20">
        <f>SUM($E$6:E20)/H20</f>
        <v>-0.94869327920157187</v>
      </c>
    </row>
    <row r="21" spans="1:11" x14ac:dyDescent="0.35">
      <c r="A21" s="79">
        <v>20</v>
      </c>
      <c r="B21" s="50">
        <v>2911.9210000000003</v>
      </c>
      <c r="C21">
        <f t="shared" si="0"/>
        <v>3498.5684999999999</v>
      </c>
      <c r="D21">
        <f t="shared" si="2"/>
        <v>3498.5684999999999</v>
      </c>
      <c r="E21">
        <f t="shared" si="3"/>
        <v>586.64749999999958</v>
      </c>
      <c r="F21">
        <f t="shared" si="4"/>
        <v>134.66100000000006</v>
      </c>
      <c r="G21">
        <f>SUMSQ($E$6:E21)/(A21-4)</f>
        <v>193116.92622179684</v>
      </c>
      <c r="H21">
        <f>SUM($F$6:F21)/(A21-4)</f>
        <v>357.81071874999986</v>
      </c>
      <c r="I21">
        <f t="shared" si="1"/>
        <v>4.6244729853591506</v>
      </c>
      <c r="J21">
        <f>AVERAGE($I$6:I21)</f>
        <v>10.714418752772719</v>
      </c>
      <c r="K21">
        <f>SUM($E$6:E21)/H21</f>
        <v>0.65141005505442595</v>
      </c>
    </row>
    <row r="22" spans="1:11" x14ac:dyDescent="0.35">
      <c r="A22" s="78">
        <v>21</v>
      </c>
      <c r="B22" s="34">
        <v>3185.0740000000001</v>
      </c>
      <c r="C22">
        <f t="shared" si="0"/>
        <v>3319.7350000000001</v>
      </c>
      <c r="D22">
        <f t="shared" si="2"/>
        <v>3319.7350000000001</v>
      </c>
      <c r="E22">
        <f t="shared" si="3"/>
        <v>134.66100000000006</v>
      </c>
      <c r="F22">
        <f t="shared" si="4"/>
        <v>116.50750000000062</v>
      </c>
      <c r="G22">
        <f>SUMSQ($E$6:E22)/(A22-4)</f>
        <v>182823.78849822056</v>
      </c>
      <c r="H22">
        <f>SUM($F$6:F22)/(A22-4)</f>
        <v>343.61641176470579</v>
      </c>
      <c r="I22">
        <f t="shared" si="1"/>
        <v>3.6579212916246413</v>
      </c>
      <c r="J22">
        <f>AVERAGE($I$6:I22)</f>
        <v>10.299330666822831</v>
      </c>
      <c r="K22">
        <f>SUM($E$6:E22)/H22</f>
        <v>1.0702122698720686</v>
      </c>
    </row>
    <row r="23" spans="1:11" x14ac:dyDescent="0.35">
      <c r="A23" s="79">
        <v>22</v>
      </c>
      <c r="B23" s="50">
        <v>3265.3599999999997</v>
      </c>
      <c r="C23">
        <f t="shared" si="0"/>
        <v>3381.8675000000003</v>
      </c>
      <c r="D23">
        <f t="shared" si="2"/>
        <v>3381.8675000000003</v>
      </c>
      <c r="E23">
        <f t="shared" si="3"/>
        <v>116.50750000000062</v>
      </c>
      <c r="F23">
        <f t="shared" si="4"/>
        <v>851.57024999999976</v>
      </c>
      <c r="G23">
        <f>SUMSQ($E$6:E23)/(A23-4)</f>
        <v>173421.02233477775</v>
      </c>
      <c r="H23">
        <f>SUM($F$6:F23)/(A23-4)</f>
        <v>371.83606944444432</v>
      </c>
      <c r="I23">
        <f t="shared" si="1"/>
        <v>26.078908604258029</v>
      </c>
      <c r="J23">
        <f>AVERAGE($I$6:I23)</f>
        <v>11.175973885569231</v>
      </c>
      <c r="K23">
        <f>SUM($E$6:E23)/H23</f>
        <v>1.3023212103212949</v>
      </c>
    </row>
    <row r="24" spans="1:11" x14ac:dyDescent="0.35">
      <c r="A24" s="78">
        <v>23</v>
      </c>
      <c r="B24" s="34">
        <v>4256.2119999999995</v>
      </c>
      <c r="C24">
        <f t="shared" si="0"/>
        <v>3404.6417499999998</v>
      </c>
      <c r="D24">
        <f t="shared" si="2"/>
        <v>3404.6417499999998</v>
      </c>
      <c r="E24">
        <f t="shared" si="3"/>
        <v>-851.57024999999976</v>
      </c>
      <c r="F24">
        <f t="shared" si="4"/>
        <v>118.30649999999969</v>
      </c>
      <c r="G24">
        <f>SUMSQ($E$6:E24)/(A24-4)</f>
        <v>202460.5417216348</v>
      </c>
      <c r="H24">
        <f>SUM($F$6:F24)/(A24-4)</f>
        <v>358.49240789473674</v>
      </c>
      <c r="I24">
        <f t="shared" si="1"/>
        <v>2.7796195302301601</v>
      </c>
      <c r="J24">
        <f>AVERAGE($I$6:I24)</f>
        <v>10.734060498446121</v>
      </c>
      <c r="K24">
        <f>SUM($E$6:E24)/H24</f>
        <v>-1.0246249067228594</v>
      </c>
    </row>
    <row r="25" spans="1:11" x14ac:dyDescent="0.35">
      <c r="A25" s="79">
        <v>24</v>
      </c>
      <c r="B25" s="50">
        <v>3411.14</v>
      </c>
      <c r="C25">
        <f t="shared" si="0"/>
        <v>3529.4464999999996</v>
      </c>
      <c r="D25">
        <f t="shared" si="2"/>
        <v>3529.4464999999996</v>
      </c>
      <c r="E25">
        <f t="shared" si="3"/>
        <v>118.30649999999969</v>
      </c>
      <c r="F25">
        <f t="shared" si="4"/>
        <v>112.60149999999976</v>
      </c>
      <c r="G25">
        <f>SUMSQ($E$6:E25)/(A25-4)</f>
        <v>193037.33603266557</v>
      </c>
      <c r="H25">
        <f>SUM($F$6:F25)/(A25-4)</f>
        <v>346.19786249999987</v>
      </c>
      <c r="I25">
        <f t="shared" si="1"/>
        <v>3.3009932163440894</v>
      </c>
      <c r="J25">
        <f>AVERAGE($I$6:I25)</f>
        <v>10.362407134341021</v>
      </c>
      <c r="K25">
        <f>SUM($E$6:E25)/H25</f>
        <v>-0.71928159290699933</v>
      </c>
    </row>
    <row r="26" spans="1:11" x14ac:dyDescent="0.35">
      <c r="A26" s="78">
        <v>25</v>
      </c>
      <c r="B26" s="34">
        <v>3494.1019999999999</v>
      </c>
      <c r="C26">
        <f t="shared" si="0"/>
        <v>3606.7034999999996</v>
      </c>
      <c r="D26">
        <f>C26</f>
        <v>3606.7034999999996</v>
      </c>
      <c r="E26">
        <f t="shared" si="3"/>
        <v>112.60149999999976</v>
      </c>
      <c r="F26">
        <f t="shared" si="4"/>
        <v>21.240499999999884</v>
      </c>
      <c r="G26">
        <f>SUMSQ($E$6:E26)/(A26-4)</f>
        <v>184448.84849788385</v>
      </c>
      <c r="H26">
        <f>SUM($F$6:F26)/(A26-4)</f>
        <v>330.72370238095226</v>
      </c>
      <c r="I26">
        <f t="shared" si="1"/>
        <v>0.6078958198701665</v>
      </c>
      <c r="J26">
        <f>AVERAGE($I$6:I26)</f>
        <v>9.8979065955566945</v>
      </c>
      <c r="K26">
        <f>SUM($E$6:E26)/H26</f>
        <v>-0.41246590134888089</v>
      </c>
    </row>
    <row r="27" spans="1:11" x14ac:dyDescent="0.35">
      <c r="A27" s="79">
        <v>26</v>
      </c>
      <c r="B27" s="50">
        <v>3692.1639999999998</v>
      </c>
      <c r="C27">
        <f t="shared" si="0"/>
        <v>3713.4044999999996</v>
      </c>
      <c r="D27">
        <f t="shared" si="2"/>
        <v>3713.4044999999996</v>
      </c>
      <c r="E27">
        <f t="shared" si="3"/>
        <v>21.240499999999884</v>
      </c>
      <c r="F27">
        <f t="shared" si="4"/>
        <v>136.27300000000014</v>
      </c>
      <c r="G27">
        <f>SUMSQ($E$6:E27)/(A27-4)</f>
        <v>176085.31714980959</v>
      </c>
      <c r="H27">
        <f>SUM($F$6:F27)/(A27-4)</f>
        <v>321.88503409090896</v>
      </c>
      <c r="I27">
        <f t="shared" si="1"/>
        <v>3.6908707197188466</v>
      </c>
      <c r="J27">
        <f>AVERAGE($I$6:I27)</f>
        <v>9.6157686012004291</v>
      </c>
      <c r="K27">
        <f>SUM($E$6:E27)/H27</f>
        <v>-0.35780399149427689</v>
      </c>
    </row>
    <row r="28" spans="1:11" x14ac:dyDescent="0.35">
      <c r="A28" s="78">
        <v>27</v>
      </c>
      <c r="B28" s="34">
        <v>3714.1660000000002</v>
      </c>
      <c r="C28">
        <f t="shared" si="0"/>
        <v>3577.893</v>
      </c>
      <c r="D28">
        <f t="shared" si="2"/>
        <v>3577.893</v>
      </c>
      <c r="E28">
        <f t="shared" si="3"/>
        <v>-136.27300000000014</v>
      </c>
      <c r="F28">
        <f t="shared" si="4"/>
        <v>130.33099999999968</v>
      </c>
      <c r="G28">
        <f>SUMSQ($E$6:E28)/(A28-4)</f>
        <v>169236.83947064399</v>
      </c>
      <c r="H28">
        <f>SUM($F$6:F28)/(A28-4)</f>
        <v>313.55659782608683</v>
      </c>
      <c r="I28">
        <f t="shared" si="1"/>
        <v>3.5090246370248304</v>
      </c>
      <c r="J28">
        <f>AVERAGE($I$6:I28)</f>
        <v>9.3502579940623587</v>
      </c>
      <c r="K28">
        <f>SUM($E$6:E28)/H28</f>
        <v>-0.80191184539979532</v>
      </c>
    </row>
    <row r="29" spans="1:11" x14ac:dyDescent="0.35">
      <c r="A29" s="79">
        <v>28</v>
      </c>
      <c r="B29" s="50">
        <v>3807.252</v>
      </c>
      <c r="C29">
        <f t="shared" si="0"/>
        <v>3676.9210000000003</v>
      </c>
      <c r="D29">
        <f t="shared" si="2"/>
        <v>3676.9210000000003</v>
      </c>
      <c r="E29">
        <f t="shared" si="3"/>
        <v>-130.33099999999968</v>
      </c>
      <c r="F29">
        <f t="shared" si="4"/>
        <v>114.02725000000009</v>
      </c>
      <c r="G29">
        <f>SUMSQ($E$6:E29)/(A29-4)</f>
        <v>162893.06155774216</v>
      </c>
      <c r="H29">
        <f>SUM($F$6:F29)/(A29-4)</f>
        <v>305.24287499999986</v>
      </c>
      <c r="I29">
        <f t="shared" si="1"/>
        <v>2.9950013815739038</v>
      </c>
      <c r="J29">
        <f>AVERAGE($I$6:I29)</f>
        <v>9.0854556352086728</v>
      </c>
      <c r="K29">
        <f>SUM($E$6:E29)/H29</f>
        <v>-1.2507278015907779</v>
      </c>
    </row>
    <row r="30" spans="1:11" x14ac:dyDescent="0.35">
      <c r="A30" s="78">
        <v>29</v>
      </c>
      <c r="B30" s="34">
        <v>3889.8969999999999</v>
      </c>
      <c r="C30">
        <f>AVERAGE(B27:B30)</f>
        <v>3775.8697499999998</v>
      </c>
      <c r="D30">
        <f t="shared" si="2"/>
        <v>3775.8697499999998</v>
      </c>
      <c r="E30">
        <f t="shared" si="3"/>
        <v>-114.02725000000009</v>
      </c>
      <c r="F30">
        <f t="shared" si="4"/>
        <v>154.71025000000009</v>
      </c>
      <c r="G30">
        <f>SUMSQ($E$6:E30)/(A30-4)</f>
        <v>156897.42764513497</v>
      </c>
      <c r="H30">
        <f>SUM($F$6:F30)/(A30-4)</f>
        <v>299.22156999999987</v>
      </c>
      <c r="I30">
        <f t="shared" si="1"/>
        <v>3.9772325591140358</v>
      </c>
      <c r="J30">
        <f>AVERAGE($I$6:I30)</f>
        <v>8.8811267121648889</v>
      </c>
      <c r="K30">
        <f>SUM($E$6:E30)/H30</f>
        <v>-1.6569761331043038</v>
      </c>
    </row>
    <row r="31" spans="1:11" x14ac:dyDescent="0.35">
      <c r="A31" s="79">
        <v>30</v>
      </c>
      <c r="B31" s="50">
        <v>4010.0519999999997</v>
      </c>
      <c r="C31">
        <f t="shared" si="0"/>
        <v>3855.3417499999996</v>
      </c>
      <c r="D31">
        <f t="shared" si="2"/>
        <v>3855.3417499999996</v>
      </c>
      <c r="E31">
        <f t="shared" si="3"/>
        <v>-154.71025000000009</v>
      </c>
      <c r="F31">
        <f t="shared" si="4"/>
        <v>33.930499999999938</v>
      </c>
      <c r="G31">
        <f>SUMSQ($E$6:E31)/(A31-4)</f>
        <v>151783.49817628603</v>
      </c>
      <c r="H31">
        <f>SUM($F$6:F31)/(A31-4)</f>
        <v>289.01806730769215</v>
      </c>
      <c r="I31">
        <f t="shared" si="1"/>
        <v>0.84613615983034496</v>
      </c>
      <c r="J31">
        <f>AVERAGE($I$6:I31)</f>
        <v>8.572088613998174</v>
      </c>
      <c r="K31">
        <f>SUM($E$6:E31)/H31</f>
        <v>-2.2507701890742156</v>
      </c>
    </row>
    <row r="32" spans="1:11" x14ac:dyDescent="0.35">
      <c r="A32" s="78">
        <v>31</v>
      </c>
      <c r="B32" s="34">
        <v>3947.6409999999996</v>
      </c>
      <c r="C32">
        <f t="shared" si="0"/>
        <v>3913.7104999999997</v>
      </c>
      <c r="D32">
        <f t="shared" si="2"/>
        <v>3913.7104999999997</v>
      </c>
      <c r="E32">
        <f t="shared" si="3"/>
        <v>-33.930499999999938</v>
      </c>
      <c r="F32">
        <f t="shared" si="4"/>
        <v>273.81624999999985</v>
      </c>
      <c r="G32">
        <f>SUMSQ($E$6:E32)/(A32-4)</f>
        <v>146204.52708939579</v>
      </c>
      <c r="H32">
        <f>SUM($F$6:F32)/(A32-4)</f>
        <v>288.4550370370369</v>
      </c>
      <c r="I32">
        <f t="shared" si="1"/>
        <v>6.9361993656464689</v>
      </c>
      <c r="J32">
        <f>AVERAGE($I$6:I32)</f>
        <v>8.5115001233184824</v>
      </c>
      <c r="K32">
        <f>SUM($E$6:E32)/H32</f>
        <v>-2.3727918119596492</v>
      </c>
    </row>
    <row r="33" spans="1:11" x14ac:dyDescent="0.35">
      <c r="A33" s="79">
        <v>32</v>
      </c>
      <c r="B33" s="50">
        <v>4314.2849999999999</v>
      </c>
      <c r="C33">
        <f t="shared" si="0"/>
        <v>4040.46875</v>
      </c>
      <c r="D33">
        <f t="shared" si="2"/>
        <v>4040.46875</v>
      </c>
      <c r="E33">
        <f t="shared" si="3"/>
        <v>-273.81624999999985</v>
      </c>
      <c r="F33">
        <f t="shared" si="4"/>
        <v>213.33650000000034</v>
      </c>
      <c r="G33">
        <f>SUMSQ($E$6:E33)/(A33-4)</f>
        <v>143660.62750634816</v>
      </c>
      <c r="H33">
        <f>SUM($F$6:F33)/(A33-4)</f>
        <v>285.77223214285704</v>
      </c>
      <c r="I33">
        <f t="shared" si="1"/>
        <v>4.9448865802792428</v>
      </c>
      <c r="J33">
        <f>AVERAGE($I$6:I33)</f>
        <v>8.3841210682099376</v>
      </c>
      <c r="K33">
        <f>SUM($E$6:E33)/H33</f>
        <v>-3.3532299230562259</v>
      </c>
    </row>
    <row r="34" spans="1:11" x14ac:dyDescent="0.35">
      <c r="A34" s="78">
        <v>33</v>
      </c>
      <c r="B34" s="34">
        <v>4375.1080000000002</v>
      </c>
      <c r="C34">
        <f t="shared" si="0"/>
        <v>4161.7714999999998</v>
      </c>
      <c r="D34">
        <f t="shared" si="2"/>
        <v>4161.7714999999998</v>
      </c>
      <c r="E34">
        <f t="shared" si="3"/>
        <v>-213.33650000000034</v>
      </c>
      <c r="F34">
        <f t="shared" si="4"/>
        <v>139.65099999999984</v>
      </c>
      <c r="G34">
        <f>SUMSQ($E$6:E34)/(A34-4)</f>
        <v>140276.2080141379</v>
      </c>
      <c r="H34">
        <f>SUM($F$6:F34)/(A34-4)</f>
        <v>280.73356896551712</v>
      </c>
      <c r="I34">
        <f t="shared" ref="I34:I60" si="5">100*(F34/B34)</f>
        <v>3.1919440617237296</v>
      </c>
      <c r="J34">
        <f>AVERAGE($I$6:I34)</f>
        <v>8.2050804817793779</v>
      </c>
      <c r="K34">
        <f>SUM($E$6:E34)/H34</f>
        <v>-4.1733395272864842</v>
      </c>
    </row>
    <row r="35" spans="1:11" x14ac:dyDescent="0.35">
      <c r="A35" s="79">
        <v>34</v>
      </c>
      <c r="B35" s="50">
        <v>4398.5460000000003</v>
      </c>
      <c r="C35">
        <f t="shared" si="0"/>
        <v>4258.8950000000004</v>
      </c>
      <c r="D35">
        <f t="shared" si="2"/>
        <v>4258.8950000000004</v>
      </c>
      <c r="E35">
        <f t="shared" si="3"/>
        <v>-139.65099999999984</v>
      </c>
      <c r="F35">
        <f t="shared" si="4"/>
        <v>78.719500000000153</v>
      </c>
      <c r="G35">
        <f>SUMSQ($E$6:E35)/(A35-4)</f>
        <v>136250.41447369996</v>
      </c>
      <c r="H35">
        <f>SUM($F$6:F35)/(A35-4)</f>
        <v>273.99976666666657</v>
      </c>
      <c r="I35">
        <f t="shared" si="5"/>
        <v>1.7896709503549615</v>
      </c>
      <c r="J35">
        <f>AVERAGE($I$6:I35)</f>
        <v>7.9912334973985653</v>
      </c>
      <c r="K35">
        <f>SUM($E$6:E35)/H35</f>
        <v>-4.7855788928287373</v>
      </c>
    </row>
    <row r="36" spans="1:11" x14ac:dyDescent="0.35">
      <c r="A36" s="78">
        <v>35</v>
      </c>
      <c r="B36" s="34">
        <v>4257.6869999999999</v>
      </c>
      <c r="C36">
        <f t="shared" si="0"/>
        <v>4336.4065000000001</v>
      </c>
      <c r="D36">
        <f t="shared" si="2"/>
        <v>4336.4065000000001</v>
      </c>
      <c r="E36">
        <f t="shared" si="3"/>
        <v>78.719500000000153</v>
      </c>
      <c r="F36">
        <f t="shared" si="4"/>
        <v>130.92274999999972</v>
      </c>
      <c r="G36">
        <f>SUMSQ($E$6:E36)/(A36-4)</f>
        <v>132055.13528681447</v>
      </c>
      <c r="H36">
        <f>SUM($F$6:F36)/(A36-4)</f>
        <v>269.38437903225793</v>
      </c>
      <c r="I36">
        <f t="shared" si="5"/>
        <v>3.0749735713310944</v>
      </c>
      <c r="J36">
        <f>AVERAGE($I$6:I36)</f>
        <v>7.8326444675254212</v>
      </c>
      <c r="K36">
        <f>SUM($E$6:E36)/H36</f>
        <v>-4.5753506733677645</v>
      </c>
    </row>
    <row r="37" spans="1:11" x14ac:dyDescent="0.35">
      <c r="A37" s="79">
        <v>36</v>
      </c>
      <c r="B37" s="50">
        <v>4518.3440000000001</v>
      </c>
      <c r="C37">
        <f t="shared" si="0"/>
        <v>4387.4212500000003</v>
      </c>
      <c r="D37">
        <f t="shared" si="2"/>
        <v>4387.4212500000003</v>
      </c>
      <c r="E37">
        <f t="shared" si="3"/>
        <v>-130.92274999999972</v>
      </c>
      <c r="F37">
        <f t="shared" si="4"/>
        <v>24.583250000000589</v>
      </c>
      <c r="G37">
        <f>SUMSQ($E$6:E37)/(A37-4)</f>
        <v>128464.06126121286</v>
      </c>
      <c r="H37">
        <f>SUM($F$6:F37)/(A37-4)</f>
        <v>261.73434374999988</v>
      </c>
      <c r="I37">
        <f t="shared" si="5"/>
        <v>0.54407654662860083</v>
      </c>
      <c r="J37">
        <f>AVERAGE($I$6:I37)</f>
        <v>7.604876719997395</v>
      </c>
      <c r="K37">
        <f>SUM($E$6:E37)/H37</f>
        <v>-5.209292485140284</v>
      </c>
    </row>
    <row r="38" spans="1:11" x14ac:dyDescent="0.35">
      <c r="A38" s="78">
        <v>37</v>
      </c>
      <c r="B38" s="34">
        <v>4358.7479999999996</v>
      </c>
      <c r="C38">
        <f t="shared" si="0"/>
        <v>4383.3312500000002</v>
      </c>
      <c r="D38">
        <f t="shared" si="2"/>
        <v>4383.3312500000002</v>
      </c>
      <c r="E38">
        <f t="shared" si="3"/>
        <v>24.583250000000589</v>
      </c>
      <c r="F38">
        <f t="shared" si="4"/>
        <v>137.01925000000028</v>
      </c>
      <c r="G38">
        <f>SUMSQ($E$6:E38)/(A38-4)</f>
        <v>124589.52413755679</v>
      </c>
      <c r="H38">
        <f>SUM($F$6:F38)/(A38-4)</f>
        <v>257.95509848484841</v>
      </c>
      <c r="I38">
        <f t="shared" si="5"/>
        <v>3.1435460366141905</v>
      </c>
      <c r="J38">
        <f>AVERAGE($I$6:I38)</f>
        <v>7.4696848811069954</v>
      </c>
      <c r="K38">
        <f>SUM($E$6:E38)/H38</f>
        <v>-5.1903122204759953</v>
      </c>
    </row>
    <row r="39" spans="1:11" x14ac:dyDescent="0.35">
      <c r="A39" s="79">
        <v>38</v>
      </c>
      <c r="B39" s="50">
        <v>4560.9520000000002</v>
      </c>
      <c r="C39">
        <f t="shared" si="0"/>
        <v>4423.9327499999999</v>
      </c>
      <c r="D39">
        <f t="shared" si="2"/>
        <v>4423.9327499999999</v>
      </c>
      <c r="E39">
        <f t="shared" si="3"/>
        <v>-137.01925000000028</v>
      </c>
      <c r="F39">
        <f t="shared" si="4"/>
        <v>134.96399999999994</v>
      </c>
      <c r="G39">
        <f>SUMSQ($E$6:E39)/(A39-4)</f>
        <v>121477.31092382166</v>
      </c>
      <c r="H39">
        <f>SUM($F$6:F39)/(A39-4)</f>
        <v>254.33771323529405</v>
      </c>
      <c r="I39">
        <f t="shared" si="5"/>
        <v>2.9591190611082934</v>
      </c>
      <c r="J39">
        <f>AVERAGE($I$6:I39)</f>
        <v>7.3370211805187973</v>
      </c>
      <c r="K39">
        <f>SUM($E$6:E39)/H39</f>
        <v>-5.8028623880667629</v>
      </c>
    </row>
    <row r="40" spans="1:11" x14ac:dyDescent="0.35">
      <c r="A40" s="78">
        <v>39</v>
      </c>
      <c r="B40" s="34">
        <v>4659.3</v>
      </c>
      <c r="C40">
        <f t="shared" si="0"/>
        <v>4524.3360000000002</v>
      </c>
      <c r="D40">
        <f t="shared" si="2"/>
        <v>4524.3360000000002</v>
      </c>
      <c r="E40">
        <f t="shared" si="3"/>
        <v>-134.96399999999994</v>
      </c>
      <c r="F40">
        <f t="shared" si="4"/>
        <v>168.02449999999953</v>
      </c>
      <c r="G40">
        <f>SUMSQ($E$6:E40)/(A40-4)</f>
        <v>118526.96722016961</v>
      </c>
      <c r="H40">
        <f>SUM($F$6:F40)/(A40-4)</f>
        <v>251.87162142857133</v>
      </c>
      <c r="I40">
        <f t="shared" si="5"/>
        <v>3.6062176721825066</v>
      </c>
      <c r="J40">
        <f>AVERAGE($I$6:I40)</f>
        <v>7.2304267945663323</v>
      </c>
      <c r="K40">
        <f>SUM($E$6:E40)/H40</f>
        <v>-6.3955230083625025</v>
      </c>
    </row>
    <row r="41" spans="1:11" x14ac:dyDescent="0.35">
      <c r="A41" s="79">
        <v>40</v>
      </c>
      <c r="B41" s="50">
        <v>4750.366</v>
      </c>
      <c r="C41">
        <f t="shared" si="0"/>
        <v>4582.3415000000005</v>
      </c>
      <c r="D41">
        <f t="shared" si="2"/>
        <v>4582.3415000000005</v>
      </c>
      <c r="E41">
        <f t="shared" si="3"/>
        <v>-168.02449999999953</v>
      </c>
      <c r="F41">
        <f t="shared" si="4"/>
        <v>93.279500000000553</v>
      </c>
      <c r="G41">
        <f>SUMSQ($E$6:E41)/(A41-4)</f>
        <v>116018.78014739406</v>
      </c>
      <c r="H41">
        <f>SUM($F$6:F41)/(A41-4)</f>
        <v>247.46628472222216</v>
      </c>
      <c r="I41">
        <f t="shared" si="5"/>
        <v>1.963627644690968</v>
      </c>
      <c r="J41">
        <f>AVERAGE($I$6:I41)</f>
        <v>7.0841268181809056</v>
      </c>
      <c r="K41">
        <f>SUM($E$6:E41)/H41</f>
        <v>-7.1883539690942655</v>
      </c>
    </row>
    <row r="42" spans="1:11" x14ac:dyDescent="0.35">
      <c r="A42" s="78">
        <v>41</v>
      </c>
      <c r="B42" s="34">
        <v>4532.5</v>
      </c>
      <c r="C42">
        <f t="shared" si="0"/>
        <v>4625.7795000000006</v>
      </c>
      <c r="D42">
        <f t="shared" si="2"/>
        <v>4625.7795000000006</v>
      </c>
      <c r="E42">
        <f t="shared" si="3"/>
        <v>93.279500000000553</v>
      </c>
      <c r="F42">
        <f t="shared" si="4"/>
        <v>110.22775000000001</v>
      </c>
      <c r="G42">
        <f>SUMSQ($E$6:E42)/(A42-4)</f>
        <v>113118.30136287665</v>
      </c>
      <c r="H42">
        <f>SUM($F$6:F42)/(A42-4)</f>
        <v>243.75713513513506</v>
      </c>
      <c r="I42">
        <f t="shared" si="5"/>
        <v>2.4319415333701051</v>
      </c>
      <c r="J42">
        <f>AVERAGE($I$6:I42)</f>
        <v>6.958392080753586</v>
      </c>
      <c r="K42">
        <f>SUM($E$6:E42)/H42</f>
        <v>-6.9150621952687841</v>
      </c>
    </row>
    <row r="43" spans="1:11" x14ac:dyDescent="0.35">
      <c r="A43" s="79">
        <v>42</v>
      </c>
      <c r="B43" s="50">
        <v>4794.3590000000004</v>
      </c>
      <c r="C43">
        <f t="shared" si="0"/>
        <v>4684.1312500000004</v>
      </c>
      <c r="D43">
        <f t="shared" si="2"/>
        <v>4684.1312500000004</v>
      </c>
      <c r="E43">
        <f t="shared" si="3"/>
        <v>-110.22775000000001</v>
      </c>
      <c r="F43">
        <f t="shared" si="4"/>
        <v>378.43375000000015</v>
      </c>
      <c r="G43">
        <f>SUMSQ($E$6:E43)/(A43-4)</f>
        <v>110461.24492885523</v>
      </c>
      <c r="H43">
        <f>SUM($F$6:F43)/(A43-4)</f>
        <v>247.30125657894732</v>
      </c>
      <c r="I43">
        <f t="shared" si="5"/>
        <v>7.8933127452491592</v>
      </c>
      <c r="J43">
        <f>AVERAGE($I$6:I43)</f>
        <v>6.9829952561350481</v>
      </c>
      <c r="K43">
        <f>SUM($E$6:E43)/H43</f>
        <v>-7.2616836842747956</v>
      </c>
    </row>
    <row r="44" spans="1:11" x14ac:dyDescent="0.35">
      <c r="A44" s="78">
        <v>43</v>
      </c>
      <c r="B44" s="34">
        <v>4187.83</v>
      </c>
      <c r="C44">
        <f t="shared" si="0"/>
        <v>4566.2637500000001</v>
      </c>
      <c r="D44">
        <f t="shared" si="2"/>
        <v>4566.2637500000001</v>
      </c>
      <c r="E44">
        <f t="shared" si="3"/>
        <v>378.43375000000015</v>
      </c>
      <c r="F44">
        <f t="shared" si="4"/>
        <v>461.38025000000016</v>
      </c>
      <c r="G44">
        <f>SUMSQ($E$6:E44)/(A44-4)</f>
        <v>111301.01052398875</v>
      </c>
      <c r="H44">
        <f>SUM($F$6:F44)/(A44-4)</f>
        <v>252.79046153846147</v>
      </c>
      <c r="I44">
        <f t="shared" si="5"/>
        <v>11.017167602314329</v>
      </c>
      <c r="J44">
        <f>AVERAGE($I$6:I44)</f>
        <v>7.0864355727037474</v>
      </c>
      <c r="K44">
        <f>SUM($E$6:E44)/H44</f>
        <v>-5.6069748097846803</v>
      </c>
    </row>
    <row r="45" spans="1:11" x14ac:dyDescent="0.35">
      <c r="A45" s="79">
        <v>44</v>
      </c>
      <c r="B45" s="50">
        <v>5120.07</v>
      </c>
      <c r="C45">
        <f t="shared" si="0"/>
        <v>4658.6897499999995</v>
      </c>
      <c r="D45">
        <f t="shared" si="2"/>
        <v>4658.6897499999995</v>
      </c>
      <c r="E45">
        <f t="shared" si="3"/>
        <v>-461.38025000000016</v>
      </c>
      <c r="F45">
        <f t="shared" si="4"/>
        <v>41.373749999999745</v>
      </c>
      <c r="G45">
        <f>SUMSQ($E$6:E45)/(A45-4)</f>
        <v>113840.2786381406</v>
      </c>
      <c r="H45">
        <f>SUM($F$6:F45)/(A45-4)</f>
        <v>247.50504374999991</v>
      </c>
      <c r="I45">
        <f t="shared" si="5"/>
        <v>0.80807000685537012</v>
      </c>
      <c r="J45">
        <f>AVERAGE($I$6:I45)</f>
        <v>6.9294764335575376</v>
      </c>
      <c r="K45">
        <f>SUM($E$6:E45)/H45</f>
        <v>-7.5908352069693832</v>
      </c>
    </row>
    <row r="46" spans="1:11" x14ac:dyDescent="0.35">
      <c r="A46" s="78">
        <v>45</v>
      </c>
      <c r="B46" s="34">
        <v>4755.9179999999997</v>
      </c>
      <c r="C46">
        <f t="shared" si="0"/>
        <v>4714.5442499999999</v>
      </c>
      <c r="D46">
        <f t="shared" si="2"/>
        <v>4714.5442499999999</v>
      </c>
      <c r="E46">
        <f t="shared" si="3"/>
        <v>-41.373749999999745</v>
      </c>
      <c r="F46">
        <f t="shared" si="4"/>
        <v>352.81025000000045</v>
      </c>
      <c r="G46">
        <f>SUMSQ($E$6:E46)/(A46-4)</f>
        <v>111105.43738328504</v>
      </c>
      <c r="H46">
        <f>SUM($F$6:F46)/(A46-4)</f>
        <v>250.07346341463406</v>
      </c>
      <c r="I46">
        <f t="shared" si="5"/>
        <v>7.4183417375993539</v>
      </c>
      <c r="J46">
        <f>AVERAGE($I$6:I46)</f>
        <v>6.9413999775585573</v>
      </c>
      <c r="K46">
        <f>SUM($E$6:E46)/H46</f>
        <v>-7.6783186979591838</v>
      </c>
    </row>
    <row r="47" spans="1:11" x14ac:dyDescent="0.35">
      <c r="A47" s="79">
        <v>46</v>
      </c>
      <c r="B47" s="50">
        <v>5158.3530000000001</v>
      </c>
      <c r="C47">
        <f t="shared" si="0"/>
        <v>4805.5427499999996</v>
      </c>
      <c r="D47">
        <f t="shared" si="2"/>
        <v>4805.5427499999996</v>
      </c>
      <c r="E47">
        <f t="shared" si="3"/>
        <v>-352.81025000000045</v>
      </c>
      <c r="F47">
        <f t="shared" si="4"/>
        <v>11.756250000000364</v>
      </c>
      <c r="G47">
        <f>SUMSQ($E$6:E47)/(A47-4)</f>
        <v>111423.76202904165</v>
      </c>
      <c r="H47">
        <f>SUM($F$6:F47)/(A47-4)</f>
        <v>244.39924404761899</v>
      </c>
      <c r="I47">
        <f t="shared" si="5"/>
        <v>0.22790704707491644</v>
      </c>
      <c r="J47">
        <f>AVERAGE($I$6:I47)</f>
        <v>6.7815549077851376</v>
      </c>
      <c r="K47">
        <f>SUM($E$6:E47)/H47</f>
        <v>-9.3001678825043026</v>
      </c>
    </row>
    <row r="48" spans="1:11" x14ac:dyDescent="0.35">
      <c r="A48" s="78">
        <v>47</v>
      </c>
      <c r="B48" s="34">
        <v>5027.1220000000003</v>
      </c>
      <c r="C48">
        <f t="shared" si="0"/>
        <v>5015.3657499999999</v>
      </c>
      <c r="D48">
        <f t="shared" si="2"/>
        <v>5015.3657499999999</v>
      </c>
      <c r="E48">
        <f t="shared" si="3"/>
        <v>-11.756250000000364</v>
      </c>
      <c r="F48">
        <f t="shared" si="4"/>
        <v>322.35950000000048</v>
      </c>
      <c r="G48">
        <f>SUMSQ($E$6:E48)/(A48-4)</f>
        <v>108835.72592171654</v>
      </c>
      <c r="H48">
        <f>SUM($F$6:F48)/(A48-4)</f>
        <v>246.2122732558139</v>
      </c>
      <c r="I48">
        <f t="shared" si="5"/>
        <v>6.4124065419538345</v>
      </c>
      <c r="J48">
        <f>AVERAGE($I$6:I48)</f>
        <v>6.7729700620681301</v>
      </c>
      <c r="K48">
        <f>SUM($E$6:E48)/H48</f>
        <v>-9.2794328235058749</v>
      </c>
    </row>
    <row r="49" spans="1:11" x14ac:dyDescent="0.35">
      <c r="A49" s="79">
        <v>48</v>
      </c>
      <c r="B49" s="50">
        <v>5410.277</v>
      </c>
      <c r="C49">
        <f t="shared" si="0"/>
        <v>5087.9174999999996</v>
      </c>
      <c r="D49">
        <f t="shared" si="2"/>
        <v>5087.9174999999996</v>
      </c>
      <c r="E49">
        <f t="shared" si="3"/>
        <v>-322.35950000000048</v>
      </c>
      <c r="F49">
        <f t="shared" si="4"/>
        <v>141.05850000000009</v>
      </c>
      <c r="G49">
        <f>SUMSQ($E$6:E49)/(A49-4)</f>
        <v>108723.90595168322</v>
      </c>
      <c r="H49">
        <f>SUM($F$6:F49)/(A49-4)</f>
        <v>243.82241477272726</v>
      </c>
      <c r="I49">
        <f t="shared" si="5"/>
        <v>2.6072324947502707</v>
      </c>
      <c r="J49">
        <f>AVERAGE($I$6:I49)</f>
        <v>6.6782942082654522</v>
      </c>
      <c r="K49">
        <f>SUM($E$6:E49)/H49</f>
        <v>-10.692494176263944</v>
      </c>
    </row>
    <row r="50" spans="1:11" x14ac:dyDescent="0.35">
      <c r="A50" s="78">
        <v>49</v>
      </c>
      <c r="B50" s="34">
        <v>5386.6620000000003</v>
      </c>
      <c r="C50">
        <f t="shared" si="0"/>
        <v>5245.6035000000002</v>
      </c>
      <c r="D50">
        <f t="shared" si="2"/>
        <v>5245.6035000000002</v>
      </c>
      <c r="E50">
        <f t="shared" si="3"/>
        <v>-141.05850000000009</v>
      </c>
      <c r="F50">
        <f t="shared" si="4"/>
        <v>201.57299999999941</v>
      </c>
      <c r="G50">
        <f>SUMSQ($E$6:E50)/(A50-4)</f>
        <v>106749.98582880694</v>
      </c>
      <c r="H50">
        <f>SUM($F$6:F50)/(A50-4)</f>
        <v>242.88353888888886</v>
      </c>
      <c r="I50">
        <f t="shared" si="5"/>
        <v>3.7420762616997205</v>
      </c>
      <c r="J50">
        <f>AVERAGE($I$6:I50)</f>
        <v>6.6130449205639907</v>
      </c>
      <c r="K50">
        <f>SUM($E$6:E50)/H50</f>
        <v>-11.314592428007956</v>
      </c>
    </row>
    <row r="51" spans="1:11" x14ac:dyDescent="0.35">
      <c r="A51" s="79">
        <v>50</v>
      </c>
      <c r="B51" s="50">
        <v>5543.451</v>
      </c>
      <c r="C51">
        <f t="shared" si="0"/>
        <v>5341.8780000000006</v>
      </c>
      <c r="D51">
        <f t="shared" si="2"/>
        <v>5341.8780000000006</v>
      </c>
      <c r="E51">
        <f t="shared" si="3"/>
        <v>-201.57299999999941</v>
      </c>
      <c r="F51">
        <f t="shared" si="4"/>
        <v>238.42225000000053</v>
      </c>
      <c r="G51">
        <f>SUMSQ($E$6:E51)/(A51-4)</f>
        <v>105312.63123098503</v>
      </c>
      <c r="H51">
        <f>SUM($F$6:F51)/(A51-4)</f>
        <v>242.78655434782607</v>
      </c>
      <c r="I51">
        <f t="shared" si="5"/>
        <v>4.3009715428169306</v>
      </c>
      <c r="J51">
        <f>AVERAGE($I$6:I51)</f>
        <v>6.5627824558303587</v>
      </c>
      <c r="K51">
        <f>SUM($E$6:E51)/H51</f>
        <v>-12.149359992045248</v>
      </c>
    </row>
    <row r="52" spans="1:11" x14ac:dyDescent="0.35">
      <c r="A52" s="78">
        <v>51</v>
      </c>
      <c r="B52" s="34">
        <v>5764.6930000000002</v>
      </c>
      <c r="C52">
        <f t="shared" si="0"/>
        <v>5526.2707499999997</v>
      </c>
      <c r="D52">
        <f t="shared" si="2"/>
        <v>5526.2707499999997</v>
      </c>
      <c r="E52">
        <f t="shared" si="3"/>
        <v>-238.42225000000053</v>
      </c>
      <c r="F52">
        <f t="shared" si="4"/>
        <v>454.06700000000001</v>
      </c>
      <c r="G52">
        <f>SUMSQ($E$6:E52)/(A52-4)</f>
        <v>104281.40863660371</v>
      </c>
      <c r="H52">
        <f>SUM($F$6:F52)/(A52-4)</f>
        <v>247.28188297872336</v>
      </c>
      <c r="I52">
        <f t="shared" si="5"/>
        <v>7.8766900509706232</v>
      </c>
      <c r="J52">
        <f>AVERAGE($I$6:I52)</f>
        <v>6.5907379365780239</v>
      </c>
      <c r="K52">
        <f>SUM($E$6:E52)/H52</f>
        <v>-12.892669133687852</v>
      </c>
    </row>
    <row r="53" spans="1:11" x14ac:dyDescent="0.35">
      <c r="A53" s="79">
        <v>52</v>
      </c>
      <c r="B53" s="50">
        <v>6170.3580000000002</v>
      </c>
      <c r="C53">
        <f t="shared" si="0"/>
        <v>5716.2910000000002</v>
      </c>
      <c r="D53">
        <f t="shared" si="2"/>
        <v>5716.2910000000002</v>
      </c>
      <c r="E53">
        <f t="shared" si="3"/>
        <v>-454.06700000000001</v>
      </c>
      <c r="F53">
        <f t="shared" si="4"/>
        <v>188.54299999999967</v>
      </c>
      <c r="G53">
        <f>SUMSQ($E$6:E53)/(A53-4)</f>
        <v>106404.23013352863</v>
      </c>
      <c r="H53">
        <f>SUM($F$6:F53)/(A53-4)</f>
        <v>246.05815624999994</v>
      </c>
      <c r="I53">
        <f t="shared" si="5"/>
        <v>3.0556249734618257</v>
      </c>
      <c r="J53">
        <f>AVERAGE($I$6:I53)</f>
        <v>6.5170897498464369</v>
      </c>
      <c r="K53">
        <f>SUM($E$6:E53)/H53</f>
        <v>-14.802153098714845</v>
      </c>
    </row>
    <row r="54" spans="1:11" x14ac:dyDescent="0.35">
      <c r="A54" s="78">
        <v>53</v>
      </c>
      <c r="B54" s="34">
        <v>6077.558</v>
      </c>
      <c r="C54">
        <f t="shared" si="0"/>
        <v>5889.0150000000003</v>
      </c>
      <c r="D54">
        <f t="shared" si="2"/>
        <v>5889.0150000000003</v>
      </c>
      <c r="E54">
        <f t="shared" si="3"/>
        <v>-188.54299999999967</v>
      </c>
      <c r="F54">
        <f t="shared" si="4"/>
        <v>255.97799999999916</v>
      </c>
      <c r="G54">
        <f>SUMSQ($E$6:E54)/(A54-4)</f>
        <v>104958.19406649742</v>
      </c>
      <c r="H54">
        <f>SUM($F$6:F54)/(A54-4)</f>
        <v>246.26060204081625</v>
      </c>
      <c r="I54">
        <f t="shared" si="5"/>
        <v>4.2118561435365836</v>
      </c>
      <c r="J54">
        <f>AVERAGE($I$6:I54)</f>
        <v>6.470044166044195</v>
      </c>
      <c r="K54">
        <f>SUM($E$6:E54)/H54</f>
        <v>-15.55560844184518</v>
      </c>
    </row>
    <row r="55" spans="1:11" x14ac:dyDescent="0.35">
      <c r="A55" s="79">
        <v>54</v>
      </c>
      <c r="B55" s="50">
        <v>6345.5069999999996</v>
      </c>
      <c r="C55">
        <f t="shared" si="0"/>
        <v>6089.5290000000005</v>
      </c>
      <c r="D55">
        <f t="shared" si="2"/>
        <v>6089.5290000000005</v>
      </c>
      <c r="E55">
        <f t="shared" si="3"/>
        <v>-255.97799999999916</v>
      </c>
      <c r="F55">
        <f t="shared" si="4"/>
        <v>147.7554999999993</v>
      </c>
      <c r="G55">
        <f>SUMSQ($E$6:E55)/(A55-4)</f>
        <v>104169.52491484747</v>
      </c>
      <c r="H55">
        <f>SUM($F$6:F55)/(A55-4)</f>
        <v>244.29049999999992</v>
      </c>
      <c r="I55">
        <f t="shared" si="5"/>
        <v>2.3285058230965516</v>
      </c>
      <c r="J55">
        <f>AVERAGE($I$6:I55)</f>
        <v>6.3872133991852422</v>
      </c>
      <c r="K55">
        <f>SUM($E$6:E55)/H55</f>
        <v>-16.728900632648415</v>
      </c>
    </row>
    <row r="56" spans="1:11" x14ac:dyDescent="0.35">
      <c r="A56" s="78">
        <v>55</v>
      </c>
      <c r="B56" s="34">
        <v>6394.8150000000005</v>
      </c>
      <c r="C56">
        <f t="shared" si="0"/>
        <v>6247.0595000000012</v>
      </c>
      <c r="D56">
        <f t="shared" si="2"/>
        <v>6247.0595000000012</v>
      </c>
      <c r="E56">
        <f t="shared" si="3"/>
        <v>-147.7554999999993</v>
      </c>
      <c r="F56">
        <f t="shared" si="4"/>
        <v>396.02899999999954</v>
      </c>
      <c r="G56">
        <f>SUMSQ($E$6:E56)/(A56-4)</f>
        <v>102555.05752005143</v>
      </c>
      <c r="H56">
        <f>SUM($F$6:F56)/(A56-4)</f>
        <v>247.26576470588228</v>
      </c>
      <c r="I56">
        <f t="shared" si="5"/>
        <v>6.1929703986745439</v>
      </c>
      <c r="J56">
        <f>AVERAGE($I$6:I56)</f>
        <v>6.3834047129007194</v>
      </c>
      <c r="K56">
        <f>SUM($E$6:E56)/H56</f>
        <v>-17.125164921382506</v>
      </c>
    </row>
    <row r="57" spans="1:11" x14ac:dyDescent="0.35">
      <c r="A57" s="79">
        <v>56</v>
      </c>
      <c r="B57" s="50">
        <v>5744.5879999999997</v>
      </c>
      <c r="C57">
        <f t="shared" si="0"/>
        <v>6140.6169999999993</v>
      </c>
      <c r="D57">
        <f t="shared" si="2"/>
        <v>6140.6169999999993</v>
      </c>
      <c r="E57">
        <f t="shared" si="3"/>
        <v>396.02899999999954</v>
      </c>
      <c r="F57">
        <f t="shared" si="4"/>
        <v>388.98025000000052</v>
      </c>
      <c r="G57">
        <f>SUMSQ($E$6:E57)/(A57-4)</f>
        <v>103598.97889160813</v>
      </c>
      <c r="H57">
        <f>SUM($F$6:F57)/(A57-4)</f>
        <v>249.99104326923072</v>
      </c>
      <c r="I57">
        <f t="shared" si="5"/>
        <v>6.7712471286017468</v>
      </c>
      <c r="J57">
        <f>AVERAGE($I$6:I57)</f>
        <v>6.3908632208949703</v>
      </c>
      <c r="K57">
        <f>SUM($E$6:E57)/H57</f>
        <v>-15.354302097400133</v>
      </c>
    </row>
    <row r="58" spans="1:11" x14ac:dyDescent="0.35">
      <c r="A58" s="78">
        <v>57</v>
      </c>
      <c r="B58" s="34">
        <v>6680.277</v>
      </c>
      <c r="C58">
        <f t="shared" si="0"/>
        <v>6291.2967499999995</v>
      </c>
      <c r="D58">
        <f t="shared" si="2"/>
        <v>6291.2967499999995</v>
      </c>
      <c r="E58">
        <f t="shared" si="3"/>
        <v>-388.98025000000052</v>
      </c>
      <c r="F58">
        <f t="shared" si="4"/>
        <v>980.72674999999981</v>
      </c>
      <c r="G58">
        <f>SUMSQ($E$6:E58)/(A58-4)</f>
        <v>104499.10447648463</v>
      </c>
      <c r="H58">
        <f>SUM($F$6:F58)/(A58-4)</f>
        <v>263.7785094339622</v>
      </c>
      <c r="I58">
        <f t="shared" si="5"/>
        <v>14.680929398586311</v>
      </c>
      <c r="J58">
        <f>AVERAGE($I$6:I58)</f>
        <v>6.547279563870279</v>
      </c>
      <c r="K58">
        <f>SUM($E$6:E58)/H58</f>
        <v>-16.026393731132767</v>
      </c>
    </row>
    <row r="59" spans="1:11" x14ac:dyDescent="0.35">
      <c r="A59" s="79">
        <v>58</v>
      </c>
      <c r="B59" s="50">
        <v>4965.5910000000003</v>
      </c>
      <c r="C59">
        <f t="shared" si="0"/>
        <v>5946.3177500000002</v>
      </c>
      <c r="D59">
        <f t="shared" si="2"/>
        <v>5946.3177500000002</v>
      </c>
      <c r="E59">
        <f t="shared" si="3"/>
        <v>980.72674999999981</v>
      </c>
      <c r="F59">
        <f t="shared" si="4"/>
        <v>544.6587499999996</v>
      </c>
      <c r="G59">
        <f>SUMSQ($E$6:E59)/(A59-4)</f>
        <v>120375.5091744305</v>
      </c>
      <c r="H59">
        <f>SUM($F$6:F59)/(A59-4)</f>
        <v>268.97999537037032</v>
      </c>
      <c r="I59">
        <f t="shared" si="5"/>
        <v>10.968659118320449</v>
      </c>
      <c r="J59">
        <f>AVERAGE($I$6:I59)</f>
        <v>6.6291569630267633</v>
      </c>
      <c r="K59">
        <f>SUM($E$6:E59)/H59</f>
        <v>-12.07038276407688</v>
      </c>
    </row>
    <row r="60" spans="1:11" x14ac:dyDescent="0.35">
      <c r="A60" s="78">
        <v>59</v>
      </c>
      <c r="B60" s="34">
        <v>5070.607</v>
      </c>
      <c r="C60">
        <f t="shared" si="0"/>
        <v>5615.2657499999996</v>
      </c>
      <c r="D60">
        <f t="shared" si="2"/>
        <v>5615.2657499999996</v>
      </c>
      <c r="E60">
        <f t="shared" si="3"/>
        <v>544.6587499999996</v>
      </c>
      <c r="F60">
        <f t="shared" si="4"/>
        <v>0</v>
      </c>
      <c r="G60">
        <f>SUMSQ($E$6:E60)/(A60-4)</f>
        <v>123580.55726128744</v>
      </c>
      <c r="H60" s="63">
        <f>SUM($F$6:F60)/(A60-4)</f>
        <v>264.08944999999994</v>
      </c>
      <c r="I60">
        <f t="shared" si="5"/>
        <v>0</v>
      </c>
      <c r="J60" s="63">
        <f>AVERAGE($I$6:I60)</f>
        <v>6.5086268364262763</v>
      </c>
      <c r="K60">
        <f>SUM($E$6:E60)/H60</f>
        <v>-10.231505840161347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1A5A-A73F-4D76-AF7F-CA52D01DA550}">
  <dimension ref="A1:R61"/>
  <sheetViews>
    <sheetView workbookViewId="0">
      <pane ySplit="1" topLeftCell="A2" activePane="bottomLeft" state="frozen"/>
      <selection activeCell="B1" sqref="B1"/>
      <selection pane="bottomLeft" activeCell="M54" sqref="M54"/>
    </sheetView>
  </sheetViews>
  <sheetFormatPr baseColWidth="10" defaultRowHeight="14.5" x14ac:dyDescent="0.35"/>
  <cols>
    <col min="2" max="2" width="13.54296875" customWidth="1"/>
    <col min="3" max="3" width="13.1796875" customWidth="1"/>
    <col min="4" max="4" width="14.1796875" customWidth="1"/>
    <col min="6" max="6" width="17.1796875" customWidth="1"/>
    <col min="7" max="7" width="21.26953125" customWidth="1"/>
    <col min="17" max="17" width="14.36328125" customWidth="1"/>
  </cols>
  <sheetData>
    <row r="1" spans="1:18" x14ac:dyDescent="0.35">
      <c r="A1" s="99" t="s">
        <v>1088</v>
      </c>
      <c r="B1" s="88" t="s">
        <v>1275</v>
      </c>
      <c r="C1" s="88" t="s">
        <v>1263</v>
      </c>
      <c r="D1" s="88" t="s">
        <v>1249</v>
      </c>
      <c r="E1" s="88" t="s">
        <v>1264</v>
      </c>
      <c r="F1" s="88" t="s">
        <v>1265</v>
      </c>
      <c r="G1" s="88" t="s">
        <v>1266</v>
      </c>
      <c r="H1" s="90" t="s">
        <v>1253</v>
      </c>
      <c r="I1" s="88" t="s">
        <v>1254</v>
      </c>
      <c r="J1" s="88" t="s">
        <v>1267</v>
      </c>
      <c r="K1" s="100" t="s">
        <v>1256</v>
      </c>
    </row>
    <row r="2" spans="1:18" x14ac:dyDescent="0.35">
      <c r="A2" s="101">
        <v>0</v>
      </c>
      <c r="B2" s="105"/>
      <c r="C2" s="64">
        <f>AVERAGE(B3:B61)</f>
        <v>4253.7532881355928</v>
      </c>
      <c r="D2" s="64"/>
      <c r="E2" s="64"/>
      <c r="F2" s="64"/>
      <c r="G2" s="64"/>
      <c r="H2" s="92"/>
      <c r="I2" s="64"/>
      <c r="J2" s="96"/>
      <c r="K2" s="102"/>
    </row>
    <row r="3" spans="1:18" x14ac:dyDescent="0.35">
      <c r="A3" s="103">
        <v>1</v>
      </c>
      <c r="B3" s="104">
        <v>3223.5839999999998</v>
      </c>
      <c r="C3" s="64">
        <f>$N$4*B3+(1-$N$4)*C2</f>
        <v>3786.5506964816286</v>
      </c>
      <c r="D3" s="64">
        <f>C2</f>
        <v>4253.7532881355928</v>
      </c>
      <c r="E3" s="64">
        <f>D3-B3</f>
        <v>1030.169288135593</v>
      </c>
      <c r="F3" s="64">
        <f>ABS(E3)</f>
        <v>1030.169288135593</v>
      </c>
      <c r="G3" s="96">
        <f>SUMSQ($E$3:E3)/A3</f>
        <v>1061248.7622177943</v>
      </c>
      <c r="H3" s="107">
        <f>SUM($F$3:F3)/A3</f>
        <v>1030.169288135593</v>
      </c>
      <c r="I3" s="96">
        <f>100*(F3/B3)</f>
        <v>31.957265209642223</v>
      </c>
      <c r="J3" s="96">
        <f>AVERAGE($I$3:I3)</f>
        <v>31.957265209642223</v>
      </c>
      <c r="K3" s="102">
        <f>SUM($E$3:E3)/H3</f>
        <v>1</v>
      </c>
    </row>
    <row r="4" spans="1:18" x14ac:dyDescent="0.35">
      <c r="A4" s="101">
        <v>2</v>
      </c>
      <c r="B4" s="104">
        <v>3472.9369999999999</v>
      </c>
      <c r="C4" s="64">
        <f t="shared" ref="C4:C61" si="0">$N$4*B4+(1-$N$4)*C3</f>
        <v>3644.3205470665052</v>
      </c>
      <c r="D4" s="64">
        <f>C3</f>
        <v>3786.5506964816286</v>
      </c>
      <c r="E4" s="64">
        <f>D4-B4</f>
        <v>313.61369648162872</v>
      </c>
      <c r="F4" s="64">
        <f>ABS(E4)</f>
        <v>313.61369648162872</v>
      </c>
      <c r="G4" s="108">
        <f>SUMSQ($E$3:E4)/A4</f>
        <v>579801.15641933272</v>
      </c>
      <c r="H4" s="107">
        <f>SUM($F$3:F4)/A4</f>
        <v>671.89149230861085</v>
      </c>
      <c r="I4" s="96">
        <f>100*(F4/B4)</f>
        <v>9.0302155346218118</v>
      </c>
      <c r="J4" s="96">
        <f>AVERAGE($I$3:I4)</f>
        <v>20.493740372132017</v>
      </c>
      <c r="K4" s="102">
        <f>SUM($E$3:E4)/H4</f>
        <v>2</v>
      </c>
      <c r="M4" s="98" t="s">
        <v>1268</v>
      </c>
      <c r="N4">
        <v>0.45352020977009594</v>
      </c>
    </row>
    <row r="5" spans="1:18" x14ac:dyDescent="0.35">
      <c r="A5" s="103">
        <v>3</v>
      </c>
      <c r="B5" s="104">
        <v>3369.4650000000001</v>
      </c>
      <c r="C5" s="64">
        <f t="shared" si="0"/>
        <v>3519.6680017044296</v>
      </c>
      <c r="D5" s="64">
        <f t="shared" ref="D5:D61" si="1">C4</f>
        <v>3644.3205470665052</v>
      </c>
      <c r="E5" s="64">
        <f t="shared" ref="E5:E61" si="2">D5-B5</f>
        <v>274.8555470665051</v>
      </c>
      <c r="F5" s="64">
        <f>ABS(E5)</f>
        <v>274.8555470665051</v>
      </c>
      <c r="G5" s="64">
        <f>SUMSQ($E$3:E5)/A5</f>
        <v>411715.96153063112</v>
      </c>
      <c r="H5" s="107">
        <f>SUM($F$3:F5)/A5</f>
        <v>539.54617722790897</v>
      </c>
      <c r="I5" s="96">
        <f t="shared" ref="I5:I60" si="3">100*(F5/B5)</f>
        <v>8.1572459445788894</v>
      </c>
      <c r="J5" s="96">
        <f>AVERAGE($I$3:I5)</f>
        <v>16.381575562947642</v>
      </c>
      <c r="K5" s="102">
        <f>SUM($E$3:E5)/H5</f>
        <v>3</v>
      </c>
    </row>
    <row r="6" spans="1:18" x14ac:dyDescent="0.35">
      <c r="A6" s="101">
        <v>4</v>
      </c>
      <c r="B6" s="104">
        <v>3601.0940000000001</v>
      </c>
      <c r="C6" s="64">
        <f t="shared" si="0"/>
        <v>3556.5963375321762</v>
      </c>
      <c r="D6" s="64">
        <f t="shared" si="1"/>
        <v>3519.6680017044296</v>
      </c>
      <c r="E6" s="64">
        <f t="shared" si="2"/>
        <v>-81.42599829557048</v>
      </c>
      <c r="F6" s="64">
        <f t="shared" ref="F6:F61" si="4">ABS(E6)</f>
        <v>81.42599829557048</v>
      </c>
      <c r="G6" s="64">
        <f>SUMSQ($E$3:E6)/A6</f>
        <v>310444.51944758091</v>
      </c>
      <c r="H6" s="107">
        <f>SUM($F$3:F6)/A6</f>
        <v>425.01613249482432</v>
      </c>
      <c r="I6" s="96">
        <f t="shared" si="3"/>
        <v>2.2611461487972955</v>
      </c>
      <c r="J6" s="96">
        <f>AVERAGE($I$3:I6)</f>
        <v>12.851468209410054</v>
      </c>
      <c r="K6" s="102">
        <f>SUM($E$3:E6)/H6</f>
        <v>3.6168333760998492</v>
      </c>
      <c r="M6" s="66" t="s">
        <v>1257</v>
      </c>
      <c r="N6" s="66" t="s">
        <v>1253</v>
      </c>
      <c r="O6" s="66" t="s">
        <v>1258</v>
      </c>
      <c r="P6" s="66" t="s">
        <v>1259</v>
      </c>
      <c r="Q6" s="66" t="s">
        <v>1260</v>
      </c>
      <c r="R6" s="66" t="s">
        <v>1261</v>
      </c>
    </row>
    <row r="7" spans="1:18" x14ac:dyDescent="0.35">
      <c r="A7" s="103">
        <v>5</v>
      </c>
      <c r="B7" s="104">
        <v>3627.9300000000003</v>
      </c>
      <c r="C7" s="64">
        <f t="shared" si="0"/>
        <v>3588.9475950982533</v>
      </c>
      <c r="D7" s="64">
        <f t="shared" si="1"/>
        <v>3556.5963375321762</v>
      </c>
      <c r="E7" s="64">
        <f t="shared" si="2"/>
        <v>-71.33366246782407</v>
      </c>
      <c r="F7" s="64">
        <f t="shared" si="4"/>
        <v>71.33366246782407</v>
      </c>
      <c r="G7" s="64">
        <f>SUMSQ($E$3:E7)/A7</f>
        <v>249373.31383827943</v>
      </c>
      <c r="H7" s="107">
        <f>SUM($F$3:F7)/A7</f>
        <v>354.27963848942426</v>
      </c>
      <c r="I7" s="96">
        <f t="shared" si="3"/>
        <v>1.9662359105005904</v>
      </c>
      <c r="J7" s="96">
        <f>AVERAGE($I$3:I7)</f>
        <v>10.674421749628163</v>
      </c>
      <c r="K7" s="102">
        <f>SUM($E$3:E7)/H7</f>
        <v>4.1376322872252533</v>
      </c>
      <c r="M7" s="66" t="s">
        <v>1298</v>
      </c>
      <c r="N7" s="91">
        <f>H61</f>
        <v>352.33412100058428</v>
      </c>
      <c r="O7" s="91">
        <f>J61</f>
        <v>8.7729287510314506</v>
      </c>
      <c r="P7" s="94">
        <f>MIN(K7:K61)</f>
        <v>-13.810984477647981</v>
      </c>
      <c r="Q7" s="110">
        <f>MAX(K7:K61)</f>
        <v>9.8074270069154554</v>
      </c>
      <c r="R7" s="93">
        <f>1.25*N7</f>
        <v>440.41765125073033</v>
      </c>
    </row>
    <row r="8" spans="1:18" x14ac:dyDescent="0.35">
      <c r="A8" s="101">
        <v>6</v>
      </c>
      <c r="B8" s="104">
        <v>3789.5219999999999</v>
      </c>
      <c r="C8" s="64">
        <f t="shared" si="0"/>
        <v>3679.9121412838058</v>
      </c>
      <c r="D8" s="64">
        <f t="shared" si="1"/>
        <v>3588.9475950982533</v>
      </c>
      <c r="E8" s="64">
        <f t="shared" si="2"/>
        <v>-200.57440490174668</v>
      </c>
      <c r="F8" s="64">
        <f t="shared" si="4"/>
        <v>200.57440490174668</v>
      </c>
      <c r="G8" s="64">
        <f>SUMSQ($E$3:E8)/A8</f>
        <v>214516.11018218115</v>
      </c>
      <c r="H8" s="107">
        <f>SUM($F$3:F8)/A8</f>
        <v>328.66209955814469</v>
      </c>
      <c r="I8" s="96">
        <f t="shared" si="3"/>
        <v>5.2928682008376438</v>
      </c>
      <c r="J8" s="96">
        <f>AVERAGE($I$3:I8)</f>
        <v>9.7774961581630766</v>
      </c>
      <c r="K8" s="102">
        <f>SUM($E$3:E8)/H8</f>
        <v>3.8498642457395258</v>
      </c>
    </row>
    <row r="9" spans="1:18" x14ac:dyDescent="0.35">
      <c r="A9" s="103">
        <v>7</v>
      </c>
      <c r="B9" s="104">
        <v>3793.3879999999999</v>
      </c>
      <c r="C9" s="64">
        <f t="shared" si="0"/>
        <v>3731.3757365326164</v>
      </c>
      <c r="D9" s="64">
        <f t="shared" si="1"/>
        <v>3679.9121412838058</v>
      </c>
      <c r="E9" s="64">
        <f t="shared" si="2"/>
        <v>-113.47585871619413</v>
      </c>
      <c r="F9" s="64">
        <f t="shared" si="4"/>
        <v>113.47585871619413</v>
      </c>
      <c r="G9" s="64">
        <f>SUMSQ($E$3:E9)/A9</f>
        <v>185710.49022920922</v>
      </c>
      <c r="H9" s="107">
        <f>SUM($F$3:F9)/A9</f>
        <v>297.92120800929462</v>
      </c>
      <c r="I9" s="96">
        <f t="shared" si="3"/>
        <v>2.9914118649659387</v>
      </c>
      <c r="J9" s="96">
        <f>AVERAGE($I$3:I9)</f>
        <v>8.8080555448491999</v>
      </c>
      <c r="K9" s="102">
        <f>SUM($E$3:E9)/H9</f>
        <v>3.8662189073375952</v>
      </c>
    </row>
    <row r="10" spans="1:18" x14ac:dyDescent="0.35">
      <c r="A10" s="101">
        <v>8</v>
      </c>
      <c r="B10" s="104">
        <v>3092.6509999999998</v>
      </c>
      <c r="C10" s="64">
        <f t="shared" si="0"/>
        <v>3441.7011600349952</v>
      </c>
      <c r="D10" s="64">
        <f t="shared" si="1"/>
        <v>3731.3757365326164</v>
      </c>
      <c r="E10" s="64">
        <f t="shared" si="2"/>
        <v>638.72473653261659</v>
      </c>
      <c r="F10" s="64">
        <f t="shared" si="4"/>
        <v>638.72473653261659</v>
      </c>
      <c r="G10" s="64">
        <f>SUMSQ($E$3:E10)/A10</f>
        <v>213492.84008289062</v>
      </c>
      <c r="H10" s="107">
        <f>SUM($F$3:F10)/A10</f>
        <v>340.52164907470984</v>
      </c>
      <c r="I10" s="96">
        <f t="shared" si="3"/>
        <v>20.652984657260603</v>
      </c>
      <c r="J10" s="96">
        <f>AVERAGE($I$3:I10)</f>
        <v>10.288671683900624</v>
      </c>
      <c r="K10" s="102">
        <f>SUM($E$3:E10)/H10</f>
        <v>5.2582658068890176</v>
      </c>
    </row>
    <row r="11" spans="1:18" x14ac:dyDescent="0.35">
      <c r="A11" s="103">
        <v>9</v>
      </c>
      <c r="B11" s="104">
        <v>3167.471</v>
      </c>
      <c r="C11" s="64">
        <f t="shared" si="0"/>
        <v>3317.3322403306374</v>
      </c>
      <c r="D11" s="64">
        <f t="shared" si="1"/>
        <v>3441.7011600349952</v>
      </c>
      <c r="E11" s="64">
        <f t="shared" si="2"/>
        <v>274.23016003499515</v>
      </c>
      <c r="F11" s="64">
        <f t="shared" si="4"/>
        <v>274.23016003499515</v>
      </c>
      <c r="G11" s="64">
        <f>SUMSQ($E$3:E11)/A11</f>
        <v>198127.21125954934</v>
      </c>
      <c r="H11" s="107">
        <f>SUM($F$3:F11)/A11</f>
        <v>333.15592807029708</v>
      </c>
      <c r="I11" s="96">
        <f t="shared" si="3"/>
        <v>8.6577007345922077</v>
      </c>
      <c r="J11" s="96">
        <f>AVERAGE($I$3:I11)</f>
        <v>10.107452689533023</v>
      </c>
      <c r="K11" s="102">
        <f>SUM($E$3:E11)/H11</f>
        <v>6.1976489982622391</v>
      </c>
    </row>
    <row r="12" spans="1:18" x14ac:dyDescent="0.35">
      <c r="A12" s="101">
        <v>10</v>
      </c>
      <c r="B12" s="104">
        <v>3291.1210000000001</v>
      </c>
      <c r="C12" s="64">
        <f t="shared" si="0"/>
        <v>3305.4449131175525</v>
      </c>
      <c r="D12" s="64">
        <f t="shared" si="1"/>
        <v>3317.3322403306374</v>
      </c>
      <c r="E12" s="64">
        <f t="shared" si="2"/>
        <v>26.211240330637338</v>
      </c>
      <c r="F12" s="64">
        <f t="shared" si="4"/>
        <v>26.211240330637338</v>
      </c>
      <c r="G12" s="64">
        <f>SUMSQ($E$3:E12)/A12</f>
        <v>178383.19304556143</v>
      </c>
      <c r="H12" s="107">
        <f>SUM($F$3:F12)/A12</f>
        <v>302.4614592963311</v>
      </c>
      <c r="I12" s="96">
        <f t="shared" si="3"/>
        <v>0.79642287022073444</v>
      </c>
      <c r="J12" s="96">
        <f>AVERAGE($I$3:I12)</f>
        <v>9.1763497076017941</v>
      </c>
      <c r="K12" s="102">
        <f>SUM($E$3:E12)/H12</f>
        <v>6.9132601193728505</v>
      </c>
    </row>
    <row r="13" spans="1:18" x14ac:dyDescent="0.35">
      <c r="A13" s="103">
        <v>11</v>
      </c>
      <c r="B13" s="104">
        <v>3312.029</v>
      </c>
      <c r="C13" s="64">
        <f t="shared" si="0"/>
        <v>3308.4309295816247</v>
      </c>
      <c r="D13" s="64">
        <f t="shared" si="1"/>
        <v>3305.4449131175525</v>
      </c>
      <c r="E13" s="64">
        <f t="shared" si="2"/>
        <v>-6.5840868824475365</v>
      </c>
      <c r="F13" s="64">
        <f t="shared" si="4"/>
        <v>6.5840868824475365</v>
      </c>
      <c r="G13" s="64">
        <f>SUMSQ($E$3:E13)/A13</f>
        <v>162170.48005960818</v>
      </c>
      <c r="H13" s="107">
        <f>SUM($F$3:F13)/A13</f>
        <v>275.56351634961442</v>
      </c>
      <c r="I13" s="96">
        <f t="shared" si="3"/>
        <v>0.19879315315317397</v>
      </c>
      <c r="J13" s="96">
        <f>AVERAGE($I$3:I13)</f>
        <v>8.3602082026519202</v>
      </c>
      <c r="K13" s="102">
        <f>SUM($E$3:E13)/H13</f>
        <v>7.564174985608938</v>
      </c>
    </row>
    <row r="14" spans="1:18" x14ac:dyDescent="0.35">
      <c r="A14" s="101">
        <v>12</v>
      </c>
      <c r="B14" s="104">
        <v>2360.7350000000001</v>
      </c>
      <c r="C14" s="64">
        <f t="shared" si="0"/>
        <v>2878.6316727995004</v>
      </c>
      <c r="D14" s="64">
        <f t="shared" si="1"/>
        <v>3308.4309295816247</v>
      </c>
      <c r="E14" s="64">
        <f t="shared" si="2"/>
        <v>947.69592958162457</v>
      </c>
      <c r="F14" s="64">
        <f t="shared" si="4"/>
        <v>947.69592958162457</v>
      </c>
      <c r="G14" s="64">
        <f>SUMSQ($E$3:E14)/A14</f>
        <v>223500.23796677249</v>
      </c>
      <c r="H14" s="107">
        <f>SUM($F$3:F14)/A14</f>
        <v>331.57455078561526</v>
      </c>
      <c r="I14" s="96">
        <f t="shared" si="3"/>
        <v>40.144104678484652</v>
      </c>
      <c r="J14" s="96">
        <f>AVERAGE($I$3:I14)</f>
        <v>11.008866242304649</v>
      </c>
      <c r="K14" s="102">
        <f>SUM($E$3:E14)/H14</f>
        <v>9.1445696894279251</v>
      </c>
    </row>
    <row r="15" spans="1:18" x14ac:dyDescent="0.35">
      <c r="A15" s="103">
        <v>13</v>
      </c>
      <c r="B15" s="104">
        <v>2895.9360000000001</v>
      </c>
      <c r="C15" s="64">
        <f t="shared" si="0"/>
        <v>2886.4795349014016</v>
      </c>
      <c r="D15" s="64">
        <f t="shared" si="1"/>
        <v>2878.6316727995004</v>
      </c>
      <c r="E15" s="64">
        <f t="shared" si="2"/>
        <v>-17.304327200499756</v>
      </c>
      <c r="F15" s="64">
        <f t="shared" si="4"/>
        <v>17.304327200499756</v>
      </c>
      <c r="G15" s="64">
        <f>SUMSQ($E$3:E15)/A15</f>
        <v>206330.94579547166</v>
      </c>
      <c r="H15" s="107">
        <f>SUM($F$3:F15)/A15</f>
        <v>307.39991820214487</v>
      </c>
      <c r="I15" s="96">
        <f t="shared" si="3"/>
        <v>0.59753831578114136</v>
      </c>
      <c r="J15" s="96">
        <f>AVERAGE($I$3:I15)</f>
        <v>10.207994863341302</v>
      </c>
      <c r="K15" s="102">
        <f>SUM($E$3:E15)/H15</f>
        <v>9.8074270069154554</v>
      </c>
    </row>
    <row r="16" spans="1:18" x14ac:dyDescent="0.35">
      <c r="A16" s="101">
        <v>14</v>
      </c>
      <c r="B16" s="104">
        <v>3115.0299999999997</v>
      </c>
      <c r="C16" s="64">
        <f t="shared" si="0"/>
        <v>2990.1317897759709</v>
      </c>
      <c r="D16" s="64">
        <f t="shared" si="1"/>
        <v>2886.4795349014016</v>
      </c>
      <c r="E16" s="64">
        <f t="shared" si="2"/>
        <v>-228.55046509859812</v>
      </c>
      <c r="F16" s="64">
        <f t="shared" si="4"/>
        <v>228.55046509859812</v>
      </c>
      <c r="G16" s="64">
        <f>SUMSQ($E$3:E16)/A16</f>
        <v>195324.1150312798</v>
      </c>
      <c r="H16" s="107">
        <f>SUM($F$3:F16)/A16</f>
        <v>301.76781440903443</v>
      </c>
      <c r="I16" s="96">
        <f t="shared" si="3"/>
        <v>7.3370229210825633</v>
      </c>
      <c r="J16" s="96">
        <f>AVERAGE($I$3:I16)</f>
        <v>10.00292543889425</v>
      </c>
      <c r="K16" s="102">
        <f>SUM($E$3:E16)/H16</f>
        <v>9.2330979698983562</v>
      </c>
    </row>
    <row r="17" spans="1:11" x14ac:dyDescent="0.35">
      <c r="A17" s="103">
        <v>15</v>
      </c>
      <c r="B17" s="104">
        <v>4035.8679999999999</v>
      </c>
      <c r="C17" s="64">
        <f t="shared" si="0"/>
        <v>3464.3942952009579</v>
      </c>
      <c r="D17" s="64">
        <f t="shared" si="1"/>
        <v>2990.1317897759709</v>
      </c>
      <c r="E17" s="64">
        <f t="shared" si="2"/>
        <v>-1045.736210224029</v>
      </c>
      <c r="F17" s="64">
        <f t="shared" si="4"/>
        <v>1045.736210224029</v>
      </c>
      <c r="G17" s="64">
        <f>SUMSQ($E$3:E17)/A17</f>
        <v>255206.78878744214</v>
      </c>
      <c r="H17" s="107">
        <f>SUM($F$3:F17)/A17</f>
        <v>351.36570746336741</v>
      </c>
      <c r="I17" s="96">
        <f t="shared" si="3"/>
        <v>25.911060773643463</v>
      </c>
      <c r="J17" s="96">
        <f>AVERAGE($I$3:I17)</f>
        <v>11.063467794544199</v>
      </c>
      <c r="K17" s="109">
        <f>SUM($E$3:E17)/H17</f>
        <v>4.9535727232520346</v>
      </c>
    </row>
    <row r="18" spans="1:11" x14ac:dyDescent="0.35">
      <c r="A18" s="101">
        <v>16</v>
      </c>
      <c r="B18" s="104">
        <v>2831.4769999999999</v>
      </c>
      <c r="C18" s="64">
        <f t="shared" si="0"/>
        <v>3177.353510714298</v>
      </c>
      <c r="D18" s="64">
        <f t="shared" si="1"/>
        <v>3464.3942952009579</v>
      </c>
      <c r="E18" s="64">
        <f t="shared" si="2"/>
        <v>632.91729520095805</v>
      </c>
      <c r="F18" s="64">
        <f t="shared" si="4"/>
        <v>632.91729520095805</v>
      </c>
      <c r="G18" s="64">
        <f>SUMSQ($E$3:E18)/A18</f>
        <v>264292.88339850807</v>
      </c>
      <c r="H18" s="107">
        <f>SUM($F$3:F18)/A18</f>
        <v>368.9626816969668</v>
      </c>
      <c r="I18" s="96">
        <f t="shared" si="3"/>
        <v>22.35290257349638</v>
      </c>
      <c r="J18" s="96">
        <f>AVERAGE($I$3:I18)</f>
        <v>11.769057468228709</v>
      </c>
      <c r="K18" s="109">
        <f>SUM($E$3:E18)/H18</f>
        <v>6.4327179883383865</v>
      </c>
    </row>
    <row r="19" spans="1:11" x14ac:dyDescent="0.35">
      <c r="A19" s="103">
        <v>17</v>
      </c>
      <c r="B19" s="104">
        <v>3900.4079999999999</v>
      </c>
      <c r="C19" s="64">
        <f t="shared" si="0"/>
        <v>3505.2733343703594</v>
      </c>
      <c r="D19" s="64">
        <f t="shared" si="1"/>
        <v>3177.353510714298</v>
      </c>
      <c r="E19" s="64">
        <f t="shared" si="2"/>
        <v>-723.05448928570195</v>
      </c>
      <c r="F19" s="64">
        <f t="shared" si="4"/>
        <v>723.05448928570195</v>
      </c>
      <c r="G19" s="64">
        <f>SUMSQ($E$3:E19)/A19</f>
        <v>279499.64287366683</v>
      </c>
      <c r="H19" s="107">
        <f>SUM($F$3:F19)/A19</f>
        <v>389.79161155512764</v>
      </c>
      <c r="I19" s="96">
        <f t="shared" si="3"/>
        <v>18.537919348070815</v>
      </c>
      <c r="J19" s="96">
        <f>AVERAGE($I$3:I19)</f>
        <v>12.167225814101775</v>
      </c>
      <c r="K19" s="109">
        <f>SUM($E$3:E19)/H19</f>
        <v>4.2340018137063895</v>
      </c>
    </row>
    <row r="20" spans="1:11" x14ac:dyDescent="0.35">
      <c r="A20" s="101">
        <v>18</v>
      </c>
      <c r="B20" s="104">
        <v>3016.83</v>
      </c>
      <c r="C20" s="64">
        <f t="shared" si="0"/>
        <v>3283.754410905909</v>
      </c>
      <c r="D20" s="64">
        <f t="shared" si="1"/>
        <v>3505.2733343703594</v>
      </c>
      <c r="E20" s="64">
        <f t="shared" si="2"/>
        <v>488.44333437035948</v>
      </c>
      <c r="F20" s="64">
        <f t="shared" si="4"/>
        <v>488.44333437035948</v>
      </c>
      <c r="G20" s="64">
        <f>SUMSQ($E$3:E20)/A20</f>
        <v>277226.15665239841</v>
      </c>
      <c r="H20" s="107">
        <f>SUM($F$3:F20)/A20</f>
        <v>395.27226282264053</v>
      </c>
      <c r="I20" s="96">
        <f t="shared" si="3"/>
        <v>16.190615128143101</v>
      </c>
      <c r="J20" s="96">
        <f>AVERAGE($I$3:I20)</f>
        <v>12.390747442659626</v>
      </c>
      <c r="K20" s="109">
        <f>SUM($E$3:E20)/H20</f>
        <v>5.41100888129355</v>
      </c>
    </row>
    <row r="21" spans="1:11" x14ac:dyDescent="0.35">
      <c r="A21" s="103">
        <v>19</v>
      </c>
      <c r="B21" s="104">
        <v>4165.1149999999998</v>
      </c>
      <c r="C21" s="64">
        <f t="shared" si="0"/>
        <v>3683.4692501549566</v>
      </c>
      <c r="D21" s="64">
        <f t="shared" si="1"/>
        <v>3283.754410905909</v>
      </c>
      <c r="E21" s="64">
        <f t="shared" si="2"/>
        <v>-881.36058909409076</v>
      </c>
      <c r="F21" s="64">
        <f t="shared" si="4"/>
        <v>881.36058909409076</v>
      </c>
      <c r="G21" s="64">
        <f>SUMSQ($E$3:E21)/A21</f>
        <v>303519.33198691864</v>
      </c>
      <c r="H21" s="107">
        <f>SUM($F$3:F21)/A21</f>
        <v>420.85585894219054</v>
      </c>
      <c r="I21" s="96">
        <f t="shared" si="3"/>
        <v>21.160534321239407</v>
      </c>
      <c r="J21" s="96">
        <f>AVERAGE($I$3:I21)</f>
        <v>12.852315173111194</v>
      </c>
      <c r="K21" s="109">
        <f>SUM($E$3:E21)/H21</f>
        <v>2.9878665316168083</v>
      </c>
    </row>
    <row r="22" spans="1:11" x14ac:dyDescent="0.35">
      <c r="A22" s="101">
        <v>20</v>
      </c>
      <c r="B22" s="104">
        <v>2911.9210000000003</v>
      </c>
      <c r="C22" s="64">
        <f t="shared" si="0"/>
        <v>3333.5565258969305</v>
      </c>
      <c r="D22" s="64">
        <f t="shared" si="1"/>
        <v>3683.4692501549566</v>
      </c>
      <c r="E22" s="64">
        <f t="shared" si="2"/>
        <v>771.54825015495635</v>
      </c>
      <c r="F22" s="64">
        <f t="shared" si="4"/>
        <v>771.54825015495635</v>
      </c>
      <c r="G22" s="64">
        <f>SUMSQ($E$3:E22)/A22</f>
        <v>318107.70050343149</v>
      </c>
      <c r="H22" s="107">
        <f>SUM($F$3:F22)/A22</f>
        <v>438.39047850282884</v>
      </c>
      <c r="I22" s="96">
        <f t="shared" si="3"/>
        <v>26.496194441915023</v>
      </c>
      <c r="J22" s="96">
        <f>AVERAGE($I$3:I22)</f>
        <v>13.534509136551383</v>
      </c>
      <c r="K22" s="109">
        <f>SUM($E$3:E22)/H22</f>
        <v>4.6283153608913956</v>
      </c>
    </row>
    <row r="23" spans="1:11" x14ac:dyDescent="0.35">
      <c r="A23" s="103">
        <v>21</v>
      </c>
      <c r="B23" s="104">
        <v>3185.0740000000001</v>
      </c>
      <c r="C23" s="64">
        <f t="shared" si="0"/>
        <v>3266.2166996049609</v>
      </c>
      <c r="D23" s="64">
        <f t="shared" si="1"/>
        <v>3333.5565258969305</v>
      </c>
      <c r="E23" s="64">
        <f t="shared" si="2"/>
        <v>148.48252589693038</v>
      </c>
      <c r="F23" s="64">
        <f t="shared" si="4"/>
        <v>148.48252589693038</v>
      </c>
      <c r="G23" s="64">
        <f>SUMSQ($E$3:E23)/A23</f>
        <v>304009.57478882681</v>
      </c>
      <c r="H23" s="107">
        <f>SUM($F$3:F23)/A23</f>
        <v>424.58533790254796</v>
      </c>
      <c r="I23" s="96">
        <f t="shared" si="3"/>
        <v>4.661823426926043</v>
      </c>
      <c r="J23" s="96">
        <f>AVERAGE($I$3:I23)</f>
        <v>13.112000293235891</v>
      </c>
      <c r="K23" s="109">
        <f>SUM($E$3:E23)/H23</f>
        <v>5.1285141460063475</v>
      </c>
    </row>
    <row r="24" spans="1:11" x14ac:dyDescent="0.35">
      <c r="A24" s="101">
        <v>22</v>
      </c>
      <c r="B24" s="104">
        <v>3265.3599999999997</v>
      </c>
      <c r="C24" s="64">
        <f t="shared" si="0"/>
        <v>3265.828169020409</v>
      </c>
      <c r="D24" s="64">
        <f t="shared" si="1"/>
        <v>3266.2166996049609</v>
      </c>
      <c r="E24" s="64">
        <f t="shared" si="2"/>
        <v>0.85669960496124986</v>
      </c>
      <c r="F24" s="64">
        <f t="shared" si="4"/>
        <v>0.85669960496124986</v>
      </c>
      <c r="G24" s="64">
        <f>SUMSQ($E$3:E24)/A24</f>
        <v>290190.99111361708</v>
      </c>
      <c r="H24" s="107">
        <f>SUM($F$3:F24)/A24</f>
        <v>405.3249452526577</v>
      </c>
      <c r="I24" s="96">
        <f t="shared" si="3"/>
        <v>2.6235992508061898E-2</v>
      </c>
      <c r="J24" s="96">
        <f>AVERAGE($I$3:I24)</f>
        <v>12.517192825020992</v>
      </c>
      <c r="K24" s="109">
        <f>SUM($E$3:E24)/H24</f>
        <v>5.3743265415534651</v>
      </c>
    </row>
    <row r="25" spans="1:11" x14ac:dyDescent="0.35">
      <c r="A25" s="103">
        <v>23</v>
      </c>
      <c r="B25" s="104">
        <v>4256.2119999999995</v>
      </c>
      <c r="C25" s="64">
        <f t="shared" si="0"/>
        <v>3714.9872517991844</v>
      </c>
      <c r="D25" s="64">
        <f t="shared" si="1"/>
        <v>3265.828169020409</v>
      </c>
      <c r="E25" s="64">
        <f t="shared" si="2"/>
        <v>-990.38383097959058</v>
      </c>
      <c r="F25" s="64">
        <f t="shared" si="4"/>
        <v>990.38383097959058</v>
      </c>
      <c r="G25" s="64">
        <f>SUMSQ($E$3:E25)/A25</f>
        <v>320220.08422458201</v>
      </c>
      <c r="H25" s="107">
        <f>SUM($F$3:F25)/A25</f>
        <v>430.76228811035037</v>
      </c>
      <c r="I25" s="96">
        <f t="shared" si="3"/>
        <v>23.269137697548679</v>
      </c>
      <c r="J25" s="96">
        <f>AVERAGE($I$3:I25)</f>
        <v>12.984668689043934</v>
      </c>
      <c r="K25" s="109">
        <f>SUM($E$3:E25)/H25</f>
        <v>2.7578198301824099</v>
      </c>
    </row>
    <row r="26" spans="1:11" x14ac:dyDescent="0.35">
      <c r="A26" s="101">
        <v>24</v>
      </c>
      <c r="B26" s="104">
        <v>3411.14</v>
      </c>
      <c r="C26" s="64">
        <f t="shared" si="0"/>
        <v>3577.1863824251514</v>
      </c>
      <c r="D26" s="64">
        <f t="shared" si="1"/>
        <v>3714.9872517991844</v>
      </c>
      <c r="E26" s="64">
        <f t="shared" si="2"/>
        <v>303.84725179918451</v>
      </c>
      <c r="F26" s="64">
        <f t="shared" si="4"/>
        <v>303.84725179918451</v>
      </c>
      <c r="G26" s="64">
        <f>SUMSQ($E$3:E26)/A26</f>
        <v>310724.37873297097</v>
      </c>
      <c r="H26" s="107">
        <f>SUM($F$3:F26)/A26</f>
        <v>425.47416159738515</v>
      </c>
      <c r="I26" s="96">
        <f t="shared" si="3"/>
        <v>8.9074987188794523</v>
      </c>
      <c r="J26" s="96">
        <f>AVERAGE($I$3:I26)</f>
        <v>12.814786606953746</v>
      </c>
      <c r="K26" s="109">
        <f>SUM($E$3:E26)/H26</f>
        <v>3.5062341422657748</v>
      </c>
    </row>
    <row r="27" spans="1:11" x14ac:dyDescent="0.35">
      <c r="A27" s="103">
        <v>25</v>
      </c>
      <c r="B27" s="104">
        <v>3494.1019999999999</v>
      </c>
      <c r="C27" s="64">
        <f t="shared" si="0"/>
        <v>3539.5059358790777</v>
      </c>
      <c r="D27" s="64">
        <f t="shared" si="1"/>
        <v>3577.1863824251514</v>
      </c>
      <c r="E27" s="64">
        <f t="shared" si="2"/>
        <v>83.084382425151489</v>
      </c>
      <c r="F27" s="64">
        <f t="shared" si="4"/>
        <v>83.084382425151489</v>
      </c>
      <c r="G27" s="64">
        <f>SUMSQ($E$3:E27)/A27</f>
        <v>298571.52416777087</v>
      </c>
      <c r="H27" s="107">
        <f>SUM($F$3:F27)/A27</f>
        <v>411.77857043049585</v>
      </c>
      <c r="I27" s="96">
        <f t="shared" si="3"/>
        <v>2.3778465089213623</v>
      </c>
      <c r="J27" s="96">
        <f>AVERAGE($I$3:I27)</f>
        <v>12.397309003032451</v>
      </c>
      <c r="K27" s="109">
        <f>SUM($E$3:E27)/H27</f>
        <v>3.8246196561985388</v>
      </c>
    </row>
    <row r="28" spans="1:11" x14ac:dyDescent="0.35">
      <c r="A28" s="101">
        <v>26</v>
      </c>
      <c r="B28" s="104">
        <v>3692.1639999999998</v>
      </c>
      <c r="C28" s="64">
        <f t="shared" si="0"/>
        <v>3608.7394531422951</v>
      </c>
      <c r="D28" s="64">
        <f t="shared" si="1"/>
        <v>3539.5059358790777</v>
      </c>
      <c r="E28" s="64">
        <f t="shared" si="2"/>
        <v>-152.65806412092206</v>
      </c>
      <c r="F28" s="64">
        <f t="shared" si="4"/>
        <v>152.65806412092206</v>
      </c>
      <c r="G28" s="64">
        <f>SUMSQ($E$3:E28)/A28</f>
        <v>287984.33033597766</v>
      </c>
      <c r="H28" s="107">
        <f>SUM($F$3:F28)/A28</f>
        <v>401.81239711089682</v>
      </c>
      <c r="I28" s="96">
        <f t="shared" si="3"/>
        <v>4.1346501434097203</v>
      </c>
      <c r="J28" s="96">
        <f>AVERAGE($I$3:I28)</f>
        <v>12.0795144315085</v>
      </c>
      <c r="K28" s="109">
        <f>SUM($E$3:E28)/H28</f>
        <v>3.539558163399227</v>
      </c>
    </row>
    <row r="29" spans="1:11" x14ac:dyDescent="0.35">
      <c r="A29" s="103">
        <v>27</v>
      </c>
      <c r="B29" s="104">
        <v>3714.1660000000002</v>
      </c>
      <c r="C29" s="64">
        <f t="shared" si="0"/>
        <v>3656.5525227885387</v>
      </c>
      <c r="D29" s="64">
        <f t="shared" si="1"/>
        <v>3608.7394531422951</v>
      </c>
      <c r="E29" s="64">
        <f t="shared" si="2"/>
        <v>-105.42654685770503</v>
      </c>
      <c r="F29" s="64">
        <f t="shared" si="4"/>
        <v>105.42654685770503</v>
      </c>
      <c r="G29" s="64">
        <f>SUMSQ($E$3:E29)/A29</f>
        <v>277729.90168584295</v>
      </c>
      <c r="H29" s="107">
        <f>SUM($F$3:F29)/A29</f>
        <v>390.83514339781567</v>
      </c>
      <c r="I29" s="96">
        <f t="shared" si="3"/>
        <v>2.8384985177750544</v>
      </c>
      <c r="J29" s="96">
        <f>AVERAGE($I$3:I29)</f>
        <v>11.737254582851707</v>
      </c>
      <c r="K29" s="109">
        <f>SUM($E$3:E29)/H29</f>
        <v>3.3692256843721213</v>
      </c>
    </row>
    <row r="30" spans="1:11" x14ac:dyDescent="0.35">
      <c r="A30" s="101">
        <v>28</v>
      </c>
      <c r="B30" s="104">
        <v>3807.252</v>
      </c>
      <c r="C30" s="64">
        <f t="shared" si="0"/>
        <v>3724.8977813057245</v>
      </c>
      <c r="D30" s="64">
        <f t="shared" si="1"/>
        <v>3656.5525227885387</v>
      </c>
      <c r="E30" s="64">
        <f t="shared" si="2"/>
        <v>-150.69947721146127</v>
      </c>
      <c r="F30" s="64">
        <f t="shared" si="4"/>
        <v>150.69947721146127</v>
      </c>
      <c r="G30" s="64">
        <f>SUMSQ($E$3:E30)/A30</f>
        <v>268622.05992677028</v>
      </c>
      <c r="H30" s="107">
        <f>SUM($F$3:F30)/A30</f>
        <v>382.25886960544585</v>
      </c>
      <c r="I30" s="96">
        <f t="shared" si="3"/>
        <v>3.9582217623488356</v>
      </c>
      <c r="J30" s="96">
        <f>AVERAGE($I$3:I30)</f>
        <v>11.45943198211946</v>
      </c>
      <c r="K30" s="109">
        <f>SUM($E$3:E30)/H30</f>
        <v>3.050582783032191</v>
      </c>
    </row>
    <row r="31" spans="1:11" x14ac:dyDescent="0.35">
      <c r="A31" s="103">
        <v>29</v>
      </c>
      <c r="B31" s="104">
        <v>3889.8969999999999</v>
      </c>
      <c r="C31" s="64">
        <f t="shared" si="0"/>
        <v>3799.728261579854</v>
      </c>
      <c r="D31" s="64">
        <f t="shared" si="1"/>
        <v>3724.8977813057245</v>
      </c>
      <c r="E31" s="64">
        <f t="shared" si="2"/>
        <v>-164.99921869427544</v>
      </c>
      <c r="F31" s="64">
        <f t="shared" si="4"/>
        <v>164.99921869427544</v>
      </c>
      <c r="G31" s="64">
        <f>SUMSQ($E$3:E31)/A31</f>
        <v>260298.01448687201</v>
      </c>
      <c r="H31" s="107">
        <f>SUM($F$3:F31)/A31</f>
        <v>374.76715750506065</v>
      </c>
      <c r="I31" s="96">
        <f t="shared" si="3"/>
        <v>4.2417374725931163</v>
      </c>
      <c r="J31" s="96">
        <f>AVERAGE($I$3:I31)</f>
        <v>11.210545964549587</v>
      </c>
      <c r="K31" s="109">
        <f>SUM($E$3:E31)/H31</f>
        <v>2.6712935953357295</v>
      </c>
    </row>
    <row r="32" spans="1:11" x14ac:dyDescent="0.35">
      <c r="A32" s="101">
        <v>30</v>
      </c>
      <c r="B32" s="104">
        <v>4010.0519999999997</v>
      </c>
      <c r="C32" s="64">
        <f t="shared" si="0"/>
        <v>3895.1143275477898</v>
      </c>
      <c r="D32" s="64">
        <f t="shared" si="1"/>
        <v>3799.728261579854</v>
      </c>
      <c r="E32" s="64">
        <f t="shared" si="2"/>
        <v>-210.32373842014567</v>
      </c>
      <c r="F32" s="64">
        <f t="shared" si="4"/>
        <v>210.32373842014567</v>
      </c>
      <c r="G32" s="64">
        <f>SUMSQ($E$3:E32)/A32</f>
        <v>253095.94983541046</v>
      </c>
      <c r="H32" s="107">
        <f>SUM($F$3:F32)/A32</f>
        <v>369.28571020223012</v>
      </c>
      <c r="I32" s="96">
        <f t="shared" si="3"/>
        <v>5.2449129941493453</v>
      </c>
      <c r="J32" s="96">
        <f>AVERAGE($I$3:I32)</f>
        <v>11.011691532202912</v>
      </c>
      <c r="K32" s="109">
        <f>SUM($E$3:E32)/H32</f>
        <v>2.1414025707418878</v>
      </c>
    </row>
    <row r="33" spans="1:11" x14ac:dyDescent="0.35">
      <c r="A33" s="103">
        <v>31</v>
      </c>
      <c r="B33" s="104">
        <v>3947.6409999999996</v>
      </c>
      <c r="C33" s="64">
        <f t="shared" si="0"/>
        <v>3918.9362350568417</v>
      </c>
      <c r="D33" s="64">
        <f t="shared" si="1"/>
        <v>3895.1143275477898</v>
      </c>
      <c r="E33" s="64">
        <f t="shared" si="2"/>
        <v>-52.526672452209823</v>
      </c>
      <c r="F33" s="64">
        <f t="shared" si="4"/>
        <v>52.526672452209823</v>
      </c>
      <c r="G33" s="64">
        <f>SUMSQ($E$3:E33)/A33</f>
        <v>245020.56601229726</v>
      </c>
      <c r="H33" s="107">
        <f>SUM($F$3:F33)/A33</f>
        <v>359.06767672642303</v>
      </c>
      <c r="I33" s="96">
        <f t="shared" si="3"/>
        <v>1.3305838208745382</v>
      </c>
      <c r="J33" s="96">
        <f>AVERAGE($I$3:I33)</f>
        <v>10.699397735063288</v>
      </c>
      <c r="K33" s="109">
        <f>SUM($E$3:E33)/H33</f>
        <v>2.0560544559280358</v>
      </c>
    </row>
    <row r="34" spans="1:11" x14ac:dyDescent="0.35">
      <c r="A34" s="101">
        <v>32</v>
      </c>
      <c r="B34" s="104">
        <v>4314.2849999999999</v>
      </c>
      <c r="C34" s="64">
        <f t="shared" si="0"/>
        <v>4098.2348898662112</v>
      </c>
      <c r="D34" s="64">
        <f t="shared" si="1"/>
        <v>3918.9362350568417</v>
      </c>
      <c r="E34" s="64">
        <f t="shared" si="2"/>
        <v>-395.34876494315813</v>
      </c>
      <c r="F34" s="64">
        <f t="shared" si="4"/>
        <v>395.34876494315813</v>
      </c>
      <c r="G34" s="64">
        <f>SUMSQ($E$3:E34)/A34</f>
        <v>242248.06851010301</v>
      </c>
      <c r="H34" s="107">
        <f>SUM($F$3:F34)/A34</f>
        <v>360.20146073319597</v>
      </c>
      <c r="I34" s="96">
        <f t="shared" si="3"/>
        <v>9.1637146118802573</v>
      </c>
      <c r="J34" s="96">
        <f>AVERAGE($I$3:I34)</f>
        <v>10.651407637463818</v>
      </c>
      <c r="K34" s="109">
        <f>SUM($E$3:E34)/H34</f>
        <v>0.95200594431772845</v>
      </c>
    </row>
    <row r="35" spans="1:11" x14ac:dyDescent="0.35">
      <c r="A35" s="103">
        <v>33</v>
      </c>
      <c r="B35" s="104">
        <v>4375.1080000000002</v>
      </c>
      <c r="C35" s="64">
        <f t="shared" si="0"/>
        <v>4223.8024408537858</v>
      </c>
      <c r="D35" s="64">
        <f t="shared" si="1"/>
        <v>4098.2348898662112</v>
      </c>
      <c r="E35" s="64">
        <f t="shared" si="2"/>
        <v>-276.87311013378894</v>
      </c>
      <c r="F35" s="64">
        <f t="shared" si="4"/>
        <v>276.87311013378894</v>
      </c>
      <c r="G35" s="64">
        <f>SUMSQ($E$3:E35)/A35</f>
        <v>237230.20943752892</v>
      </c>
      <c r="H35" s="107">
        <f>SUM($F$3:F35)/A35</f>
        <v>357.67635919988061</v>
      </c>
      <c r="I35" s="96">
        <f t="shared" si="3"/>
        <v>6.3283720112460973</v>
      </c>
      <c r="J35" s="96">
        <f>AVERAGE($I$3:I35)</f>
        <v>10.520406557881461</v>
      </c>
      <c r="K35" s="109">
        <f>SUM($E$3:E35)/H35</f>
        <v>0.18463848654653978</v>
      </c>
    </row>
    <row r="36" spans="1:11" x14ac:dyDescent="0.35">
      <c r="A36" s="101">
        <v>34</v>
      </c>
      <c r="B36" s="104">
        <v>4398.5460000000003</v>
      </c>
      <c r="C36" s="64">
        <f t="shared" si="0"/>
        <v>4303.0521764537507</v>
      </c>
      <c r="D36" s="64">
        <f t="shared" si="1"/>
        <v>4223.8024408537858</v>
      </c>
      <c r="E36" s="64">
        <f t="shared" si="2"/>
        <v>-174.74355914621447</v>
      </c>
      <c r="F36" s="64">
        <f t="shared" si="4"/>
        <v>174.74355914621447</v>
      </c>
      <c r="G36" s="64">
        <f>SUMSQ($E$3:E36)/A36</f>
        <v>231150.94773239826</v>
      </c>
      <c r="H36" s="107">
        <f>SUM($F$3:F36)/A36</f>
        <v>352.29598272771398</v>
      </c>
      <c r="I36" s="96">
        <f t="shared" si="3"/>
        <v>3.9727573417719051</v>
      </c>
      <c r="J36" s="96">
        <f>AVERAGE($I$3:I36)</f>
        <v>10.327828639760593</v>
      </c>
      <c r="K36" s="109">
        <f>SUM($E$3:E36)/H36</f>
        <v>-0.30855514351433078</v>
      </c>
    </row>
    <row r="37" spans="1:11" x14ac:dyDescent="0.35">
      <c r="A37" s="103">
        <v>35</v>
      </c>
      <c r="B37" s="104">
        <v>4257.6869999999999</v>
      </c>
      <c r="C37" s="64">
        <f t="shared" si="0"/>
        <v>4282.4781521121886</v>
      </c>
      <c r="D37" s="64">
        <f t="shared" si="1"/>
        <v>4303.0521764537507</v>
      </c>
      <c r="E37" s="64">
        <f t="shared" si="2"/>
        <v>45.365176453750792</v>
      </c>
      <c r="F37" s="64">
        <f t="shared" si="4"/>
        <v>45.365176453750792</v>
      </c>
      <c r="G37" s="64">
        <f>SUMSQ($E$3:E37)/A37</f>
        <v>224605.43491817775</v>
      </c>
      <c r="H37" s="107">
        <f>SUM($F$3:F37)/A37</f>
        <v>343.52653111988639</v>
      </c>
      <c r="I37" s="96">
        <f t="shared" si="3"/>
        <v>1.0654887607696573</v>
      </c>
      <c r="J37" s="96">
        <f>AVERAGE($I$3:I37)</f>
        <v>10.063190357503709</v>
      </c>
      <c r="K37" s="109">
        <f>SUM($E$3:E37)/H37</f>
        <v>-0.1843745833832473</v>
      </c>
    </row>
    <row r="38" spans="1:11" x14ac:dyDescent="0.35">
      <c r="A38" s="101">
        <v>36</v>
      </c>
      <c r="B38" s="104">
        <v>4518.3440000000001</v>
      </c>
      <c r="C38" s="64">
        <f t="shared" si="0"/>
        <v>4389.4480809238703</v>
      </c>
      <c r="D38" s="64">
        <f t="shared" si="1"/>
        <v>4282.4781521121886</v>
      </c>
      <c r="E38" s="64">
        <f t="shared" si="2"/>
        <v>-235.86584788781147</v>
      </c>
      <c r="F38" s="64">
        <f t="shared" si="4"/>
        <v>235.86584788781147</v>
      </c>
      <c r="G38" s="64">
        <f>SUMSQ($E$3:E38)/A38</f>
        <v>219911.74778711272</v>
      </c>
      <c r="H38" s="107">
        <f>SUM($F$3:F38)/A38</f>
        <v>340.53595658566212</v>
      </c>
      <c r="I38" s="96">
        <f t="shared" si="3"/>
        <v>5.2201834983748796</v>
      </c>
      <c r="J38" s="96">
        <f>AVERAGE($I$3:I38)</f>
        <v>9.9286623891945744</v>
      </c>
      <c r="K38" s="109">
        <f>SUM($E$3:E38)/H38</f>
        <v>-0.87862501200770493</v>
      </c>
    </row>
    <row r="39" spans="1:11" x14ac:dyDescent="0.35">
      <c r="A39" s="103">
        <v>37</v>
      </c>
      <c r="B39" s="104">
        <v>4358.7479999999996</v>
      </c>
      <c r="C39" s="64">
        <f t="shared" si="0"/>
        <v>4375.5249737833183</v>
      </c>
      <c r="D39" s="64">
        <f t="shared" si="1"/>
        <v>4389.4480809238703</v>
      </c>
      <c r="E39" s="64">
        <f t="shared" si="2"/>
        <v>30.700080923870701</v>
      </c>
      <c r="F39" s="64">
        <f t="shared" si="4"/>
        <v>30.700080923870701</v>
      </c>
      <c r="G39" s="64">
        <f>SUMSQ($E$3:E39)/A39</f>
        <v>213993.65987310241</v>
      </c>
      <c r="H39" s="107">
        <f>SUM($F$3:F39)/A39</f>
        <v>332.16201400020827</v>
      </c>
      <c r="I39" s="96">
        <f t="shared" si="3"/>
        <v>0.70433254971085046</v>
      </c>
      <c r="J39" s="96">
        <f>AVERAGE($I$3:I39)</f>
        <v>9.6793561773166346</v>
      </c>
      <c r="K39" s="109">
        <f>SUM($E$3:E39)/H39</f>
        <v>-0.80835049374457857</v>
      </c>
    </row>
    <row r="40" spans="1:11" x14ac:dyDescent="0.35">
      <c r="A40" s="101">
        <v>38</v>
      </c>
      <c r="B40" s="104">
        <v>4560.9520000000002</v>
      </c>
      <c r="C40" s="64">
        <f t="shared" si="0"/>
        <v>4459.6198776101537</v>
      </c>
      <c r="D40" s="64">
        <f t="shared" si="1"/>
        <v>4375.5249737833183</v>
      </c>
      <c r="E40" s="64">
        <f t="shared" si="2"/>
        <v>-185.42702621668195</v>
      </c>
      <c r="F40" s="64">
        <f t="shared" si="4"/>
        <v>185.42702621668195</v>
      </c>
      <c r="G40" s="64">
        <f>SUMSQ($E$3:E40)/A40</f>
        <v>209267.06835148291</v>
      </c>
      <c r="H40" s="107">
        <f>SUM($F$3:F40)/A40</f>
        <v>328.30056695327335</v>
      </c>
      <c r="I40" s="96">
        <f t="shared" si="3"/>
        <v>4.0655333846241302</v>
      </c>
      <c r="J40" s="96">
        <f>AVERAGE($I$3:I40)</f>
        <v>9.5316239985615692</v>
      </c>
      <c r="K40" s="109">
        <f>SUM($E$3:E40)/H40</f>
        <v>-1.3826669824226996</v>
      </c>
    </row>
    <row r="41" spans="1:11" x14ac:dyDescent="0.35">
      <c r="A41" s="103">
        <v>39</v>
      </c>
      <c r="B41" s="104">
        <v>4659.3</v>
      </c>
      <c r="C41" s="64">
        <f t="shared" si="0"/>
        <v>4550.1788486033156</v>
      </c>
      <c r="D41" s="64">
        <f t="shared" si="1"/>
        <v>4459.6198776101537</v>
      </c>
      <c r="E41" s="64">
        <f t="shared" si="2"/>
        <v>-199.68012238984647</v>
      </c>
      <c r="F41" s="64">
        <f t="shared" si="4"/>
        <v>199.68012238984647</v>
      </c>
      <c r="G41" s="64">
        <f>SUMSQ($E$3:E41)/A41</f>
        <v>204923.60893933268</v>
      </c>
      <c r="H41" s="107">
        <f>SUM($F$3:F41)/A41</f>
        <v>325.00260683626243</v>
      </c>
      <c r="I41" s="96">
        <f t="shared" si="3"/>
        <v>4.2856249305656746</v>
      </c>
      <c r="J41" s="96">
        <f>AVERAGE($I$3:I41)</f>
        <v>9.3971112019462897</v>
      </c>
      <c r="K41" s="109">
        <f>SUM($E$3:E41)/H41</f>
        <v>-2.0110930278047952</v>
      </c>
    </row>
    <row r="42" spans="1:11" x14ac:dyDescent="0.35">
      <c r="A42" s="101">
        <v>40</v>
      </c>
      <c r="B42" s="104">
        <v>4750.366</v>
      </c>
      <c r="C42" s="64">
        <f t="shared" si="0"/>
        <v>4640.9677674980176</v>
      </c>
      <c r="D42" s="64">
        <f t="shared" si="1"/>
        <v>4550.1788486033156</v>
      </c>
      <c r="E42" s="64">
        <f t="shared" si="2"/>
        <v>-200.18715139668438</v>
      </c>
      <c r="F42" s="64">
        <f t="shared" si="4"/>
        <v>200.18715139668438</v>
      </c>
      <c r="G42" s="64">
        <f>SUMSQ($E$3:E42)/A42</f>
        <v>200802.39110545735</v>
      </c>
      <c r="H42" s="107">
        <f>SUM($F$3:F42)/A42</f>
        <v>321.88222045027294</v>
      </c>
      <c r="I42" s="96">
        <f t="shared" si="3"/>
        <v>4.2141416344905718</v>
      </c>
      <c r="J42" s="96">
        <f>AVERAGE($I$3:I42)</f>
        <v>9.2675369627598965</v>
      </c>
      <c r="K42" s="109">
        <f>SUM($E$3:E42)/H42</f>
        <v>-2.6525156525548965</v>
      </c>
    </row>
    <row r="43" spans="1:11" x14ac:dyDescent="0.35">
      <c r="A43" s="103">
        <v>41</v>
      </c>
      <c r="B43" s="104">
        <v>4532.5</v>
      </c>
      <c r="C43" s="64">
        <f t="shared" si="0"/>
        <v>4591.7754428290227</v>
      </c>
      <c r="D43" s="64">
        <f t="shared" si="1"/>
        <v>4640.9677674980176</v>
      </c>
      <c r="E43" s="64">
        <f t="shared" si="2"/>
        <v>108.46776749801757</v>
      </c>
      <c r="F43" s="64">
        <f t="shared" si="4"/>
        <v>108.46776749801757</v>
      </c>
      <c r="G43" s="64">
        <f>SUMSQ($E$3:E43)/A43</f>
        <v>196191.72928790969</v>
      </c>
      <c r="H43" s="107">
        <f>SUM($F$3:F43)/A43</f>
        <v>316.67698989046187</v>
      </c>
      <c r="I43" s="96">
        <f t="shared" si="3"/>
        <v>2.3931112520246565</v>
      </c>
      <c r="J43" s="96">
        <f>AVERAGE($I$3:I43)</f>
        <v>9.0998680429858663</v>
      </c>
      <c r="K43" s="109">
        <f>SUM($E$3:E43)/H43</f>
        <v>-2.353596517332269</v>
      </c>
    </row>
    <row r="44" spans="1:11" x14ac:dyDescent="0.35">
      <c r="A44" s="101">
        <v>42</v>
      </c>
      <c r="B44" s="104">
        <v>4794.3590000000004</v>
      </c>
      <c r="C44" s="64">
        <f t="shared" si="0"/>
        <v>4683.6511801731776</v>
      </c>
      <c r="D44" s="64">
        <f t="shared" si="1"/>
        <v>4591.7754428290227</v>
      </c>
      <c r="E44" s="64">
        <f t="shared" si="2"/>
        <v>-202.58355717097766</v>
      </c>
      <c r="F44" s="64">
        <f t="shared" si="4"/>
        <v>202.58355717097766</v>
      </c>
      <c r="G44" s="64">
        <f>SUMSQ($E$3:E44)/A44</f>
        <v>192497.64282000822</v>
      </c>
      <c r="H44" s="107">
        <f>SUM($F$3:F44)/A44</f>
        <v>313.96047958761699</v>
      </c>
      <c r="I44" s="96">
        <f t="shared" si="3"/>
        <v>4.2254565661640617</v>
      </c>
      <c r="J44" s="96">
        <f>AVERAGE($I$3:I44)</f>
        <v>8.9838106268710618</v>
      </c>
      <c r="K44" s="109">
        <f>SUM($E$3:E44)/H44</f>
        <v>-3.0192125421056395</v>
      </c>
    </row>
    <row r="45" spans="1:11" x14ac:dyDescent="0.35">
      <c r="A45" s="103">
        <v>43</v>
      </c>
      <c r="B45" s="104">
        <v>4187.83</v>
      </c>
      <c r="C45" s="64">
        <f t="shared" si="0"/>
        <v>4458.7862545325816</v>
      </c>
      <c r="D45" s="64">
        <f t="shared" si="1"/>
        <v>4683.6511801731776</v>
      </c>
      <c r="E45" s="64">
        <f t="shared" si="2"/>
        <v>495.82118017317771</v>
      </c>
      <c r="F45" s="64">
        <f t="shared" si="4"/>
        <v>495.82118017317771</v>
      </c>
      <c r="G45" s="64">
        <f>SUMSQ($E$3:E45)/A45</f>
        <v>193738.13118950391</v>
      </c>
      <c r="H45" s="107">
        <f>SUM($F$3:F45)/A45</f>
        <v>318.18979820588584</v>
      </c>
      <c r="I45" s="96">
        <f t="shared" si="3"/>
        <v>11.839572766162373</v>
      </c>
      <c r="J45" s="96">
        <f>AVERAGE($I$3:I45)</f>
        <v>9.0502236998778347</v>
      </c>
      <c r="K45" s="109">
        <f>SUM($E$3:E45)/H45</f>
        <v>-1.4208256835146214</v>
      </c>
    </row>
    <row r="46" spans="1:11" x14ac:dyDescent="0.35">
      <c r="A46" s="101">
        <v>44</v>
      </c>
      <c r="B46" s="104">
        <v>5120.07</v>
      </c>
      <c r="C46" s="64">
        <f t="shared" si="0"/>
        <v>4758.69179749452</v>
      </c>
      <c r="D46" s="64">
        <f t="shared" si="1"/>
        <v>4458.7862545325816</v>
      </c>
      <c r="E46" s="64">
        <f t="shared" si="2"/>
        <v>-661.28374546741816</v>
      </c>
      <c r="F46" s="64">
        <f t="shared" si="4"/>
        <v>661.28374546741816</v>
      </c>
      <c r="G46" s="64">
        <f>SUMSQ($E$3:E46)/A46</f>
        <v>199273.54166291104</v>
      </c>
      <c r="H46" s="107">
        <f>SUM($F$3:F46)/A46</f>
        <v>325.98738791637521</v>
      </c>
      <c r="I46" s="96">
        <f t="shared" si="3"/>
        <v>12.915521574263988</v>
      </c>
      <c r="J46" s="96">
        <f>AVERAGE($I$3:I46)</f>
        <v>9.1380713788411576</v>
      </c>
      <c r="K46" s="109">
        <f>SUM($E$3:E46)/H46</f>
        <v>-3.4153958841999343</v>
      </c>
    </row>
    <row r="47" spans="1:11" x14ac:dyDescent="0.35">
      <c r="A47" s="103">
        <v>45</v>
      </c>
      <c r="B47" s="104">
        <v>4755.9179999999997</v>
      </c>
      <c r="C47" s="64">
        <f t="shared" si="0"/>
        <v>4757.4338242729455</v>
      </c>
      <c r="D47" s="64">
        <f t="shared" si="1"/>
        <v>4758.69179749452</v>
      </c>
      <c r="E47" s="64">
        <f t="shared" si="2"/>
        <v>2.773797494520295</v>
      </c>
      <c r="F47" s="64">
        <f t="shared" si="4"/>
        <v>2.773797494520295</v>
      </c>
      <c r="G47" s="64">
        <f>SUMSQ($E$3:E47)/A47</f>
        <v>194845.41171379169</v>
      </c>
      <c r="H47" s="107">
        <f>SUM($F$3:F47)/A47</f>
        <v>318.80486368477847</v>
      </c>
      <c r="I47" s="96">
        <f t="shared" si="3"/>
        <v>5.8323072317905712E-2</v>
      </c>
      <c r="J47" s="96">
        <f>AVERAGE($I$3:I47)</f>
        <v>8.9362991942517525</v>
      </c>
      <c r="K47" s="109">
        <f>SUM($E$3:E47)/H47</f>
        <v>-3.483642541270243</v>
      </c>
    </row>
    <row r="48" spans="1:11" x14ac:dyDescent="0.35">
      <c r="A48" s="101">
        <v>46</v>
      </c>
      <c r="B48" s="104">
        <v>5158.3530000000001</v>
      </c>
      <c r="C48" s="64">
        <f t="shared" si="0"/>
        <v>4939.2587729495335</v>
      </c>
      <c r="D48" s="64">
        <f t="shared" si="1"/>
        <v>4757.4338242729455</v>
      </c>
      <c r="E48" s="64">
        <f t="shared" si="2"/>
        <v>-400.91917572705461</v>
      </c>
      <c r="F48" s="64">
        <f t="shared" si="4"/>
        <v>400.91917572705461</v>
      </c>
      <c r="G48" s="64">
        <f>SUMSQ($E$3:E48)/A48</f>
        <v>194103.90679535407</v>
      </c>
      <c r="H48" s="107">
        <f>SUM($F$3:F48)/A48</f>
        <v>320.5899574248279</v>
      </c>
      <c r="I48" s="96">
        <f t="shared" si="3"/>
        <v>7.7722322556648331</v>
      </c>
      <c r="J48" s="96">
        <f>AVERAGE($I$3:I48)</f>
        <v>8.9109933912389927</v>
      </c>
      <c r="K48" s="109">
        <f>SUM($E$3:E48)/H48</f>
        <v>-4.7148119465895366</v>
      </c>
    </row>
    <row r="49" spans="1:11" x14ac:dyDescent="0.35">
      <c r="A49" s="103">
        <v>47</v>
      </c>
      <c r="B49" s="104">
        <v>5027.1220000000003</v>
      </c>
      <c r="C49" s="64">
        <f t="shared" si="0"/>
        <v>4979.1065221125391</v>
      </c>
      <c r="D49" s="64">
        <f t="shared" si="1"/>
        <v>4939.2587729495335</v>
      </c>
      <c r="E49" s="64">
        <f t="shared" si="2"/>
        <v>-87.863227050466776</v>
      </c>
      <c r="F49" s="64">
        <f t="shared" si="4"/>
        <v>87.863227050466776</v>
      </c>
      <c r="G49" s="64">
        <f>SUMSQ($E$3:E49)/A49</f>
        <v>190138.29062242573</v>
      </c>
      <c r="H49" s="107">
        <f>SUM($F$3:F49)/A49</f>
        <v>315.6383248636713</v>
      </c>
      <c r="I49" s="96">
        <f t="shared" si="3"/>
        <v>1.7477838622270709</v>
      </c>
      <c r="J49" s="96">
        <f>AVERAGE($I$3:I49)</f>
        <v>8.7585846778557617</v>
      </c>
      <c r="K49" s="109">
        <f>SUM($E$3:E49)/H49</f>
        <v>-5.0671431898026746</v>
      </c>
    </row>
    <row r="50" spans="1:11" x14ac:dyDescent="0.35">
      <c r="A50" s="101">
        <v>48</v>
      </c>
      <c r="B50" s="104">
        <v>5410.277</v>
      </c>
      <c r="C50" s="64">
        <f t="shared" si="0"/>
        <v>5174.6510476907333</v>
      </c>
      <c r="D50" s="64">
        <f t="shared" si="1"/>
        <v>4979.1065221125391</v>
      </c>
      <c r="E50" s="64">
        <f t="shared" si="2"/>
        <v>-431.17047788746095</v>
      </c>
      <c r="F50" s="64">
        <f t="shared" si="4"/>
        <v>431.17047788746095</v>
      </c>
      <c r="G50" s="64">
        <f>SUMSQ($E$3:E50)/A50</f>
        <v>190050.15917199396</v>
      </c>
      <c r="H50" s="107">
        <f>SUM($F$3:F50)/A50</f>
        <v>318.04524471833355</v>
      </c>
      <c r="I50" s="96">
        <f t="shared" si="3"/>
        <v>7.9694713946709381</v>
      </c>
      <c r="J50" s="96">
        <f>AVERAGE($I$3:I50)</f>
        <v>8.742144817789411</v>
      </c>
      <c r="K50" s="109">
        <f>SUM($E$3:E50)/H50</f>
        <v>-6.3844849117597482</v>
      </c>
    </row>
    <row r="51" spans="1:11" x14ac:dyDescent="0.35">
      <c r="A51" s="103">
        <v>49</v>
      </c>
      <c r="B51" s="104">
        <v>5386.6620000000003</v>
      </c>
      <c r="C51" s="64">
        <f t="shared" si="0"/>
        <v>5270.8022992555907</v>
      </c>
      <c r="D51" s="64">
        <f t="shared" si="1"/>
        <v>5174.6510476907333</v>
      </c>
      <c r="E51" s="64">
        <f t="shared" si="2"/>
        <v>-212.01095230926694</v>
      </c>
      <c r="F51" s="64">
        <f t="shared" si="4"/>
        <v>212.01095230926694</v>
      </c>
      <c r="G51" s="64">
        <f>SUMSQ($E$3:E51)/A51</f>
        <v>187088.90375826109</v>
      </c>
      <c r="H51" s="107">
        <f>SUM($F$3:F51)/A51</f>
        <v>315.8812795671281</v>
      </c>
      <c r="I51" s="96">
        <f t="shared" si="3"/>
        <v>3.9358502967007567</v>
      </c>
      <c r="J51" s="96">
        <f>AVERAGE($I$3:I51)</f>
        <v>8.6440571745018886</v>
      </c>
      <c r="K51" s="109">
        <f>SUM($E$3:E51)/H51</f>
        <v>-7.099395132068393</v>
      </c>
    </row>
    <row r="52" spans="1:11" x14ac:dyDescent="0.35">
      <c r="A52" s="101">
        <v>50</v>
      </c>
      <c r="B52" s="104">
        <v>5543.451</v>
      </c>
      <c r="C52" s="64">
        <f t="shared" si="0"/>
        <v>5394.4539952107398</v>
      </c>
      <c r="D52" s="64">
        <f t="shared" si="1"/>
        <v>5270.8022992555907</v>
      </c>
      <c r="E52" s="64">
        <f t="shared" si="2"/>
        <v>-272.64870074440933</v>
      </c>
      <c r="F52" s="64">
        <f t="shared" si="4"/>
        <v>272.64870074440933</v>
      </c>
      <c r="G52" s="64">
        <f>SUMSQ($E$3:E52)/A52</f>
        <v>184833.87196344815</v>
      </c>
      <c r="H52" s="107">
        <f>SUM($F$3:F52)/A52</f>
        <v>315.01662799067373</v>
      </c>
      <c r="I52" s="96">
        <f t="shared" si="3"/>
        <v>4.9183929062313227</v>
      </c>
      <c r="J52" s="96">
        <f>AVERAGE($I$3:I52)</f>
        <v>8.5695438891364759</v>
      </c>
      <c r="K52" s="109">
        <f>SUM($E$3:E52)/H52</f>
        <v>-7.9843871584114545</v>
      </c>
    </row>
    <row r="53" spans="1:11" x14ac:dyDescent="0.35">
      <c r="A53" s="103">
        <v>51</v>
      </c>
      <c r="B53" s="104">
        <v>5764.6930000000002</v>
      </c>
      <c r="C53" s="64">
        <f t="shared" si="0"/>
        <v>5562.3648663278364</v>
      </c>
      <c r="D53" s="64">
        <f t="shared" si="1"/>
        <v>5394.4539952107398</v>
      </c>
      <c r="E53" s="64">
        <f t="shared" si="2"/>
        <v>-370.23900478926043</v>
      </c>
      <c r="F53" s="64">
        <f t="shared" si="4"/>
        <v>370.23900478926043</v>
      </c>
      <c r="G53" s="64">
        <f>SUMSQ($E$3:E53)/A53</f>
        <v>183897.46115372059</v>
      </c>
      <c r="H53" s="107">
        <f>SUM($F$3:F53)/A53</f>
        <v>316.09941969260683</v>
      </c>
      <c r="I53" s="96">
        <f t="shared" si="3"/>
        <v>6.4225277007684616</v>
      </c>
      <c r="J53" s="96">
        <f>AVERAGE($I$3:I53)</f>
        <v>8.5274455325018099</v>
      </c>
      <c r="K53" s="109">
        <f>SUM($E$3:E53)/H53</f>
        <v>-9.1283107283463369</v>
      </c>
    </row>
    <row r="54" spans="1:11" x14ac:dyDescent="0.35">
      <c r="A54" s="101">
        <v>52</v>
      </c>
      <c r="B54" s="104">
        <v>6170.3580000000002</v>
      </c>
      <c r="C54" s="64">
        <f t="shared" si="0"/>
        <v>5838.1020398496148</v>
      </c>
      <c r="D54" s="64">
        <f t="shared" si="1"/>
        <v>5562.3648663278364</v>
      </c>
      <c r="E54" s="64">
        <f t="shared" si="2"/>
        <v>-607.99313367216382</v>
      </c>
      <c r="F54" s="64">
        <f t="shared" si="4"/>
        <v>607.99313367216382</v>
      </c>
      <c r="G54" s="64">
        <f>SUMSQ($E$3:E54)/A54</f>
        <v>187469.73402754325</v>
      </c>
      <c r="H54" s="107">
        <f>SUM($F$3:F54)/A54</f>
        <v>321.71276034605984</v>
      </c>
      <c r="I54" s="96">
        <f t="shared" si="3"/>
        <v>9.8534498917593396</v>
      </c>
      <c r="J54" s="96">
        <f>AVERAGE($I$3:I54)</f>
        <v>8.5529456163336857</v>
      </c>
      <c r="K54" s="109">
        <f>SUM($E$3:E54)/H54</f>
        <v>-10.858900510873141</v>
      </c>
    </row>
    <row r="55" spans="1:11" x14ac:dyDescent="0.35">
      <c r="A55" s="103">
        <v>53</v>
      </c>
      <c r="B55" s="104">
        <v>6077.558</v>
      </c>
      <c r="C55" s="64">
        <f t="shared" si="0"/>
        <v>5946.7001571277178</v>
      </c>
      <c r="D55" s="64">
        <f t="shared" si="1"/>
        <v>5838.1020398496148</v>
      </c>
      <c r="E55" s="64">
        <f t="shared" si="2"/>
        <v>-239.45596015038518</v>
      </c>
      <c r="F55" s="64">
        <f t="shared" si="4"/>
        <v>239.45596015038518</v>
      </c>
      <c r="G55" s="64">
        <f>SUMSQ($E$3:E55)/A55</f>
        <v>185014.44011856211</v>
      </c>
      <c r="H55" s="107">
        <f>SUM($F$3:F55)/A55</f>
        <v>320.16074524802826</v>
      </c>
      <c r="I55" s="96">
        <f t="shared" si="3"/>
        <v>3.9400028786296266</v>
      </c>
      <c r="J55" s="96">
        <f>AVERAGE($I$3:I55)</f>
        <v>8.4659089609053062</v>
      </c>
      <c r="K55" s="109">
        <f>SUM($E$3:E55)/H55</f>
        <v>-11.659464419770595</v>
      </c>
    </row>
    <row r="56" spans="1:11" x14ac:dyDescent="0.35">
      <c r="A56" s="101">
        <v>54</v>
      </c>
      <c r="B56" s="104">
        <v>6345.5069999999996</v>
      </c>
      <c r="C56" s="64">
        <f t="shared" si="0"/>
        <v>6127.5671201649056</v>
      </c>
      <c r="D56" s="64">
        <f t="shared" si="1"/>
        <v>5946.7001571277178</v>
      </c>
      <c r="E56" s="64">
        <f t="shared" si="2"/>
        <v>-398.80684287228178</v>
      </c>
      <c r="F56" s="64">
        <f t="shared" si="4"/>
        <v>398.80684287228178</v>
      </c>
      <c r="G56" s="64">
        <f>SUMSQ($E$3:E56)/A56</f>
        <v>184533.55970751017</v>
      </c>
      <c r="H56" s="107">
        <f>SUM($F$3:F56)/A56</f>
        <v>321.61715446329225</v>
      </c>
      <c r="I56" s="96">
        <f t="shared" si="3"/>
        <v>6.2848696388213234</v>
      </c>
      <c r="J56" s="96">
        <f>AVERAGE($I$3:I56)</f>
        <v>8.4255193438296772</v>
      </c>
      <c r="K56" s="109">
        <f>SUM($E$3:E56)/H56</f>
        <v>-12.846670655966138</v>
      </c>
    </row>
    <row r="57" spans="1:11" x14ac:dyDescent="0.35">
      <c r="A57" s="103">
        <v>55</v>
      </c>
      <c r="B57" s="104">
        <v>6394.8150000000005</v>
      </c>
      <c r="C57" s="64">
        <f t="shared" si="0"/>
        <v>6248.7694346883318</v>
      </c>
      <c r="D57" s="64">
        <f t="shared" si="1"/>
        <v>6127.5671201649056</v>
      </c>
      <c r="E57" s="64">
        <f t="shared" si="2"/>
        <v>-267.24787983509486</v>
      </c>
      <c r="F57" s="64">
        <f t="shared" si="4"/>
        <v>267.24787983509486</v>
      </c>
      <c r="G57" s="64">
        <f>SUMSQ($E$3:E57)/A57</f>
        <v>182476.97551785278</v>
      </c>
      <c r="H57" s="107">
        <f>SUM($F$3:F57)/A57</f>
        <v>320.628622197325</v>
      </c>
      <c r="I57" s="96">
        <f t="shared" si="3"/>
        <v>4.1791338738508443</v>
      </c>
      <c r="J57" s="96">
        <f>AVERAGE($I$3:I57)</f>
        <v>8.3483123352846071</v>
      </c>
      <c r="K57" s="109">
        <f>SUM($E$3:E57)/H57</f>
        <v>-13.719790548913448</v>
      </c>
    </row>
    <row r="58" spans="1:11" x14ac:dyDescent="0.35">
      <c r="A58" s="101">
        <v>56</v>
      </c>
      <c r="B58" s="104">
        <v>5744.5879999999997</v>
      </c>
      <c r="C58" s="64">
        <f t="shared" si="0"/>
        <v>6020.1129646662921</v>
      </c>
      <c r="D58" s="64">
        <f t="shared" si="1"/>
        <v>6248.7694346883318</v>
      </c>
      <c r="E58" s="64">
        <f t="shared" si="2"/>
        <v>504.18143468833205</v>
      </c>
      <c r="F58" s="64">
        <f t="shared" si="4"/>
        <v>504.18143468833205</v>
      </c>
      <c r="G58" s="64">
        <f>SUMSQ($E$3:E58)/A58</f>
        <v>183757.72451011228</v>
      </c>
      <c r="H58" s="107">
        <f>SUM($F$3:F58)/A58</f>
        <v>323.9063509918073</v>
      </c>
      <c r="I58" s="96">
        <f t="shared" si="3"/>
        <v>8.7766334972731208</v>
      </c>
      <c r="J58" s="96">
        <f>AVERAGE($I$3:I58)</f>
        <v>8.3559609274629736</v>
      </c>
      <c r="K58" s="109">
        <f>SUM($E$3:E58)/H58</f>
        <v>-12.024389438242846</v>
      </c>
    </row>
    <row r="59" spans="1:11" x14ac:dyDescent="0.35">
      <c r="A59" s="103">
        <v>57</v>
      </c>
      <c r="B59" s="104">
        <v>6680.277</v>
      </c>
      <c r="C59" s="64">
        <f t="shared" si="0"/>
        <v>6319.510696453508</v>
      </c>
      <c r="D59" s="64">
        <f t="shared" si="1"/>
        <v>6020.1129646662921</v>
      </c>
      <c r="E59" s="64">
        <f t="shared" si="2"/>
        <v>-660.16403533370794</v>
      </c>
      <c r="F59" s="64">
        <f t="shared" si="4"/>
        <v>660.16403533370794</v>
      </c>
      <c r="G59" s="64">
        <f>SUMSQ($E$3:E59)/A59</f>
        <v>188179.8092300767</v>
      </c>
      <c r="H59" s="107">
        <f>SUM($F$3:F59)/A59</f>
        <v>329.80560861184063</v>
      </c>
      <c r="I59" s="96">
        <f t="shared" si="3"/>
        <v>9.8822853503486137</v>
      </c>
      <c r="J59" s="96">
        <f>AVERAGE($I$3:I59)</f>
        <v>8.3827385489171089</v>
      </c>
      <c r="K59" s="109">
        <f>SUM($E$3:E59)/H59</f>
        <v>-13.810984477647981</v>
      </c>
    </row>
    <row r="60" spans="1:11" x14ac:dyDescent="0.35">
      <c r="A60" s="101">
        <v>58</v>
      </c>
      <c r="B60" s="106">
        <v>4965.5910000000003</v>
      </c>
      <c r="C60" s="64">
        <f t="shared" si="0"/>
        <v>5705.480751706049</v>
      </c>
      <c r="D60" s="64">
        <f t="shared" si="1"/>
        <v>6319.510696453508</v>
      </c>
      <c r="E60" s="64">
        <f t="shared" si="2"/>
        <v>1353.9196964535076</v>
      </c>
      <c r="F60" s="64">
        <f t="shared" si="4"/>
        <v>1353.9196964535076</v>
      </c>
      <c r="G60" s="64">
        <f>SUMSQ($E$3:E60)/A60</f>
        <v>216540.47707860571</v>
      </c>
      <c r="H60" s="107">
        <f>SUM($F$3:F60)/A60</f>
        <v>347.46274805738659</v>
      </c>
      <c r="I60" s="96">
        <f t="shared" si="3"/>
        <v>27.266033317152129</v>
      </c>
      <c r="J60" s="96">
        <f>AVERAGE($I$3:I60)</f>
        <v>8.7083125966452979</v>
      </c>
      <c r="K60" s="109">
        <f>SUM($E$3:E60)/H60</f>
        <v>-9.2125572097219219</v>
      </c>
    </row>
    <row r="61" spans="1:11" x14ac:dyDescent="0.35">
      <c r="A61" s="101">
        <v>59</v>
      </c>
      <c r="B61" s="104">
        <v>5070.607</v>
      </c>
      <c r="C61" s="64">
        <f t="shared" si="0"/>
        <v>5417.5526746547939</v>
      </c>
      <c r="D61" s="64">
        <f t="shared" si="1"/>
        <v>5705.480751706049</v>
      </c>
      <c r="E61" s="64">
        <f t="shared" si="2"/>
        <v>634.87375170604901</v>
      </c>
      <c r="F61" s="64">
        <f t="shared" si="4"/>
        <v>634.87375170604901</v>
      </c>
      <c r="G61" s="115">
        <f>SUMSQ($E$3:E61)/A61</f>
        <v>219701.90425702449</v>
      </c>
      <c r="H61" s="107">
        <f>SUM($F$3:F61)/A61</f>
        <v>352.33412100058428</v>
      </c>
      <c r="I61" s="96">
        <f>100*(F61/B61)</f>
        <v>12.520665705428344</v>
      </c>
      <c r="J61" s="96">
        <f>AVERAGE($I$3:I61)</f>
        <v>8.7729287510314506</v>
      </c>
      <c r="K61" s="109">
        <f>SUM($E$3:E61)/H61</f>
        <v>-7.2832761292953627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88B0-8FBF-4EEA-8CD9-F85DB5CDFAD9}">
  <dimension ref="A1:T60"/>
  <sheetViews>
    <sheetView topLeftCell="C1" workbookViewId="0">
      <pane ySplit="1" topLeftCell="A35" activePane="bottomLeft" state="frozen"/>
      <selection pane="bottomLeft" activeCell="O8" sqref="O8"/>
    </sheetView>
  </sheetViews>
  <sheetFormatPr baseColWidth="10" defaultRowHeight="14.5" x14ac:dyDescent="0.35"/>
  <cols>
    <col min="2" max="2" width="9.54296875" customWidth="1"/>
    <col min="3" max="3" width="11.453125" customWidth="1"/>
    <col min="5" max="5" width="14.26953125" customWidth="1"/>
    <col min="7" max="7" width="10.453125" customWidth="1"/>
    <col min="8" max="8" width="12.54296875" customWidth="1"/>
    <col min="15" max="15" width="16.90625" customWidth="1"/>
  </cols>
  <sheetData>
    <row r="1" spans="1:20" ht="43.5" x14ac:dyDescent="0.35">
      <c r="A1" s="111" t="s">
        <v>1088</v>
      </c>
      <c r="B1" s="111" t="s">
        <v>1274</v>
      </c>
      <c r="C1" s="111" t="s">
        <v>1263</v>
      </c>
      <c r="D1" s="111" t="s">
        <v>1269</v>
      </c>
      <c r="E1" s="111" t="s">
        <v>1270</v>
      </c>
      <c r="F1" s="111" t="s">
        <v>1264</v>
      </c>
      <c r="G1" s="111" t="s">
        <v>1265</v>
      </c>
      <c r="H1" s="111" t="s">
        <v>1266</v>
      </c>
      <c r="I1" s="111" t="s">
        <v>1253</v>
      </c>
      <c r="J1" s="111" t="s">
        <v>1254</v>
      </c>
      <c r="K1" s="111" t="s">
        <v>1267</v>
      </c>
      <c r="L1" s="111" t="s">
        <v>1256</v>
      </c>
      <c r="M1" s="113" t="s">
        <v>1271</v>
      </c>
    </row>
    <row r="2" spans="1:20" x14ac:dyDescent="0.35">
      <c r="A2" s="78">
        <v>1</v>
      </c>
      <c r="B2" s="34">
        <v>3223.5839999999998</v>
      </c>
      <c r="C2" s="96">
        <f>Regre_YAUS!B17</f>
        <v>2701.8735271770893</v>
      </c>
      <c r="D2" s="77">
        <f>Regre_YAUS!B18</f>
        <v>51.729325365283458</v>
      </c>
      <c r="E2" s="96"/>
      <c r="F2" s="64"/>
      <c r="G2" s="64"/>
      <c r="H2" s="64"/>
      <c r="I2" s="64"/>
      <c r="J2" s="64"/>
      <c r="K2" s="64"/>
      <c r="L2" s="64"/>
      <c r="M2" s="54" t="s">
        <v>1183</v>
      </c>
      <c r="N2" s="112" t="s">
        <v>1272</v>
      </c>
      <c r="O2" s="65">
        <v>0.37317610157214115</v>
      </c>
    </row>
    <row r="3" spans="1:20" x14ac:dyDescent="0.35">
      <c r="A3" s="79">
        <v>2</v>
      </c>
      <c r="B3" s="50">
        <v>3472.9369999999999</v>
      </c>
      <c r="C3" s="96">
        <f>$O$2*B3+(1-$O$2)*(C2+D2)</f>
        <v>3022.0411654183299</v>
      </c>
      <c r="D3" s="77">
        <f>$O$3*(C3-C2)+(1-$O$3)*D2</f>
        <v>51.729325365283458</v>
      </c>
      <c r="E3" s="96">
        <f>C2+D2</f>
        <v>2753.6028525423726</v>
      </c>
      <c r="F3" s="96">
        <f>E3-B3</f>
        <v>-719.3341474576273</v>
      </c>
      <c r="G3" s="96">
        <f>ABS(F3)</f>
        <v>719.3341474576273</v>
      </c>
      <c r="H3" s="96">
        <f>SUMSQ($G$3:G3)/A3</f>
        <v>258720.80784929576</v>
      </c>
      <c r="I3" s="96">
        <f>SUM($G$3:G3)/A3</f>
        <v>359.66707372881365</v>
      </c>
      <c r="J3" s="96">
        <f>100*(G3/B3)</f>
        <v>20.712559642101983</v>
      </c>
      <c r="K3" s="96">
        <f>AVERAGE($J$3:J3)</f>
        <v>20.712559642101983</v>
      </c>
      <c r="L3" s="64">
        <f>SUM($F$3:F3)/I3</f>
        <v>-2</v>
      </c>
      <c r="M3" s="55" t="s">
        <v>1183</v>
      </c>
      <c r="N3" s="112" t="s">
        <v>1273</v>
      </c>
      <c r="O3" s="65">
        <v>0</v>
      </c>
    </row>
    <row r="4" spans="1:20" x14ac:dyDescent="0.35">
      <c r="A4" s="78">
        <v>3</v>
      </c>
      <c r="B4" s="34">
        <v>3369.4650000000001</v>
      </c>
      <c r="C4" s="96">
        <f t="shared" ref="C4:C13" si="0">$O$2*B4+(1-$O$2)*(C3+D3)</f>
        <v>3184.1166149892724</v>
      </c>
      <c r="D4" s="77">
        <f>$O$3*(C4-C3)+(1-$O$3)*D3</f>
        <v>51.729325365283458</v>
      </c>
      <c r="E4" s="96">
        <f>C3+D3</f>
        <v>3073.7704907836132</v>
      </c>
      <c r="F4" s="96">
        <f t="shared" ref="F4:F60" si="1">E4-B4</f>
        <v>-295.6945092163869</v>
      </c>
      <c r="G4" s="96">
        <f>ABS(F4)</f>
        <v>295.6945092163869</v>
      </c>
      <c r="H4" s="96">
        <f>SUMSQ($G$3:G4)/A4</f>
        <v>201625.61949310382</v>
      </c>
      <c r="I4" s="96">
        <f>SUM($G$3:G4)/A4</f>
        <v>338.34288555800475</v>
      </c>
      <c r="J4" s="96">
        <f t="shared" ref="J4:J60" si="2">100*(G4/B4)</f>
        <v>8.7757109575670587</v>
      </c>
      <c r="K4" s="96">
        <f>AVERAGE($J$3:J4)</f>
        <v>14.744135299834522</v>
      </c>
      <c r="L4" s="64">
        <f>SUM($F$3:F4)/I4</f>
        <v>-3</v>
      </c>
      <c r="M4" s="54" t="s">
        <v>1183</v>
      </c>
    </row>
    <row r="5" spans="1:20" x14ac:dyDescent="0.35">
      <c r="A5" s="79">
        <v>4</v>
      </c>
      <c r="B5" s="50">
        <v>3601.0940000000001</v>
      </c>
      <c r="C5" s="96">
        <f t="shared" si="0"/>
        <v>3372.1477873598319</v>
      </c>
      <c r="D5" s="77">
        <f t="shared" ref="D5:D13" si="3">$O$3*(C5-C4)+(1-$O$3)*D4</f>
        <v>51.729325365283458</v>
      </c>
      <c r="E5" s="96">
        <f t="shared" ref="E5:E13" si="4">C4+D4</f>
        <v>3235.8459403545558</v>
      </c>
      <c r="F5" s="96">
        <f t="shared" si="1"/>
        <v>-365.2480596454443</v>
      </c>
      <c r="G5" s="96">
        <f t="shared" ref="G5:G60" si="5">ABS(F5)</f>
        <v>365.2480596454443</v>
      </c>
      <c r="H5" s="96">
        <f>SUMSQ($G$3:G5)/A5</f>
        <v>184570.75088851838</v>
      </c>
      <c r="I5" s="96">
        <f>SUM($G$3:G5)/A5</f>
        <v>345.06917907986463</v>
      </c>
      <c r="J5" s="96">
        <f t="shared" si="2"/>
        <v>10.142697181618816</v>
      </c>
      <c r="K5" s="96">
        <f>AVERAGE($J$3:J5)</f>
        <v>13.210322593762619</v>
      </c>
      <c r="L5" s="77">
        <f>SUM($F$3:F5)/I5</f>
        <v>-4</v>
      </c>
      <c r="M5" s="55" t="s">
        <v>1183</v>
      </c>
    </row>
    <row r="6" spans="1:20" x14ac:dyDescent="0.35">
      <c r="A6" s="78">
        <v>5</v>
      </c>
      <c r="B6" s="34">
        <v>3627.9300000000003</v>
      </c>
      <c r="C6" s="96">
        <f t="shared" si="0"/>
        <v>3500.0247737128966</v>
      </c>
      <c r="D6" s="77">
        <f t="shared" si="3"/>
        <v>51.729325365283458</v>
      </c>
      <c r="E6" s="96">
        <f t="shared" si="4"/>
        <v>3423.8771127251152</v>
      </c>
      <c r="F6" s="96">
        <f>E6-B6</f>
        <v>-204.05288727488505</v>
      </c>
      <c r="G6" s="96">
        <f t="shared" si="5"/>
        <v>204.05288727488505</v>
      </c>
      <c r="H6" s="96">
        <f>SUMSQ($G$3:G6)/A6</f>
        <v>155984.11687185807</v>
      </c>
      <c r="I6" s="96">
        <f>SUM($G$3:G6)/A6</f>
        <v>316.86592071886872</v>
      </c>
      <c r="J6" s="96">
        <f t="shared" si="2"/>
        <v>5.6244990194101057</v>
      </c>
      <c r="K6" s="96">
        <f>AVERAGE($J$3:J6)</f>
        <v>11.31386670017449</v>
      </c>
      <c r="L6" s="77">
        <f>SUM($F$3:F6)/I6</f>
        <v>-5</v>
      </c>
      <c r="M6" s="54" t="s">
        <v>1184</v>
      </c>
      <c r="O6" s="66" t="s">
        <v>1257</v>
      </c>
      <c r="P6" s="66" t="s">
        <v>1253</v>
      </c>
      <c r="Q6" s="66" t="s">
        <v>1258</v>
      </c>
      <c r="R6" s="66" t="s">
        <v>1259</v>
      </c>
      <c r="S6" s="66" t="s">
        <v>1260</v>
      </c>
      <c r="T6" s="66" t="s">
        <v>1261</v>
      </c>
    </row>
    <row r="7" spans="1:20" x14ac:dyDescent="0.35">
      <c r="A7" s="79">
        <v>6</v>
      </c>
      <c r="B7" s="50">
        <v>3789.5219999999999</v>
      </c>
      <c r="C7" s="96">
        <f t="shared" si="0"/>
        <v>3640.483397423176</v>
      </c>
      <c r="D7" s="77">
        <f t="shared" si="3"/>
        <v>51.729325365283458</v>
      </c>
      <c r="E7" s="96">
        <f t="shared" si="4"/>
        <v>3551.7540990781799</v>
      </c>
      <c r="F7" s="96">
        <f t="shared" si="1"/>
        <v>-237.76790092182</v>
      </c>
      <c r="G7" s="96">
        <f t="shared" si="5"/>
        <v>237.76790092182</v>
      </c>
      <c r="H7" s="96">
        <f>SUMSQ($G$3:G7)/A7</f>
        <v>139409.02651134314</v>
      </c>
      <c r="I7" s="96">
        <f>SUM($G$3:G7)/A7</f>
        <v>303.68291741936059</v>
      </c>
      <c r="J7" s="96">
        <f t="shared" si="2"/>
        <v>6.2743507207985605</v>
      </c>
      <c r="K7" s="96">
        <f>AVERAGE($J$3:J7)</f>
        <v>10.305963504299303</v>
      </c>
      <c r="L7" s="77">
        <f>SUM($F$3:F7)/I7</f>
        <v>-6</v>
      </c>
      <c r="M7" s="55" t="s">
        <v>1184</v>
      </c>
      <c r="O7" s="66" t="s">
        <v>1289</v>
      </c>
      <c r="P7" s="91">
        <f>I60</f>
        <v>334.48685161581989</v>
      </c>
      <c r="Q7" s="91">
        <f>K60</f>
        <v>8.7121627796295549</v>
      </c>
      <c r="R7" s="114">
        <f>MIN(L3:L60)</f>
        <v>-6.9999999999999991</v>
      </c>
      <c r="S7" s="107">
        <f>MAX(L3:L60)</f>
        <v>2.6488468084894272</v>
      </c>
      <c r="T7" s="93">
        <f>1.25*P7</f>
        <v>418.10856451977486</v>
      </c>
    </row>
    <row r="8" spans="1:20" x14ac:dyDescent="0.35">
      <c r="A8" s="78">
        <v>7</v>
      </c>
      <c r="B8" s="34">
        <v>3793.3879999999999</v>
      </c>
      <c r="C8" s="96">
        <f t="shared" si="0"/>
        <v>3729.9689183137434</v>
      </c>
      <c r="D8" s="77">
        <f t="shared" si="3"/>
        <v>51.729325365283458</v>
      </c>
      <c r="E8" s="96">
        <f t="shared" si="4"/>
        <v>3692.2127227884594</v>
      </c>
      <c r="F8" s="96">
        <f t="shared" si="1"/>
        <v>-101.17527721154056</v>
      </c>
      <c r="G8" s="96">
        <f t="shared" si="5"/>
        <v>101.17527721154056</v>
      </c>
      <c r="H8" s="96">
        <f>SUMSQ($G$3:G8)/A8</f>
        <v>120955.79939812727</v>
      </c>
      <c r="I8" s="96">
        <f>SUM($G$3:G8)/A8</f>
        <v>274.75325453252918</v>
      </c>
      <c r="J8" s="96">
        <f t="shared" si="2"/>
        <v>2.6671481327915987</v>
      </c>
      <c r="K8" s="96">
        <f>AVERAGE($J$3:J8)</f>
        <v>9.0328276090480184</v>
      </c>
      <c r="L8" s="77">
        <f>SUM($F$3:F8)/I8</f>
        <v>-6.9999999999999991</v>
      </c>
      <c r="M8" s="54" t="s">
        <v>1184</v>
      </c>
    </row>
    <row r="9" spans="1:20" x14ac:dyDescent="0.35">
      <c r="A9" s="79">
        <v>8</v>
      </c>
      <c r="B9" s="50">
        <v>3092.6509999999998</v>
      </c>
      <c r="C9" s="96">
        <f t="shared" si="0"/>
        <v>3524.5622794838582</v>
      </c>
      <c r="D9" s="77">
        <f t="shared" si="3"/>
        <v>51.729325365283458</v>
      </c>
      <c r="E9" s="96">
        <f t="shared" si="4"/>
        <v>3781.6982436790267</v>
      </c>
      <c r="F9" s="96">
        <f t="shared" si="1"/>
        <v>689.04724367902691</v>
      </c>
      <c r="G9" s="96">
        <f t="shared" si="5"/>
        <v>689.04724367902691</v>
      </c>
      <c r="H9" s="96">
        <f>SUMSQ($G$3:G9)/A9</f>
        <v>165184.5874760694</v>
      </c>
      <c r="I9" s="96">
        <f>SUM($G$3:G9)/A9</f>
        <v>326.54000317584138</v>
      </c>
      <c r="J9" s="96">
        <f t="shared" si="2"/>
        <v>22.280148768128928</v>
      </c>
      <c r="K9" s="96">
        <f>AVERAGE($J$3:J9)</f>
        <v>10.925302060345292</v>
      </c>
      <c r="L9" s="77">
        <f>SUM($F$3:F9)/I9</f>
        <v>-3.7797070069361403</v>
      </c>
      <c r="M9" s="55" t="s">
        <v>1184</v>
      </c>
    </row>
    <row r="10" spans="1:20" x14ac:dyDescent="0.35">
      <c r="A10" s="78">
        <v>9</v>
      </c>
      <c r="B10" s="34">
        <v>3167.471</v>
      </c>
      <c r="C10" s="96">
        <f t="shared" si="0"/>
        <v>3423.7295252891745</v>
      </c>
      <c r="D10" s="77">
        <f t="shared" si="3"/>
        <v>51.729325365283458</v>
      </c>
      <c r="E10" s="96">
        <f t="shared" si="4"/>
        <v>3576.2916048491415</v>
      </c>
      <c r="F10" s="96">
        <f t="shared" si="1"/>
        <v>408.82060484914155</v>
      </c>
      <c r="G10" s="96">
        <f t="shared" si="5"/>
        <v>408.82060484914155</v>
      </c>
      <c r="H10" s="96">
        <f>SUMSQ($G$3:G10)/A10</f>
        <v>165401.22075086369</v>
      </c>
      <c r="I10" s="96">
        <f>SUM($G$3:G10)/A10</f>
        <v>335.68229225065249</v>
      </c>
      <c r="J10" s="96">
        <f>100*(G10/B10)</f>
        <v>12.906846024766811</v>
      </c>
      <c r="K10" s="96">
        <f>AVERAGE($J$3:J10)</f>
        <v>11.172995055897982</v>
      </c>
      <c r="L10" s="77">
        <f>SUM($F$3:F10)/I10</f>
        <v>-2.4588873236816715</v>
      </c>
      <c r="M10" s="54" t="s">
        <v>1185</v>
      </c>
    </row>
    <row r="11" spans="1:20" x14ac:dyDescent="0.35">
      <c r="A11" s="79">
        <v>10</v>
      </c>
      <c r="B11" s="50">
        <v>3291.1210000000001</v>
      </c>
      <c r="C11" s="96">
        <f t="shared" si="0"/>
        <v>3406.6683701750399</v>
      </c>
      <c r="D11" s="77">
        <f t="shared" si="3"/>
        <v>51.729325365283458</v>
      </c>
      <c r="E11" s="96">
        <f t="shared" si="4"/>
        <v>3475.4588506544578</v>
      </c>
      <c r="F11" s="96">
        <f>E11-B11</f>
        <v>184.33785065445772</v>
      </c>
      <c r="G11" s="96">
        <f t="shared" si="5"/>
        <v>184.33785065445772</v>
      </c>
      <c r="H11" s="96">
        <f>SUMSQ($G$3:G11)/A11</f>
        <v>152259.14299416784</v>
      </c>
      <c r="I11" s="96">
        <f>SUM($G$3:G11)/A11</f>
        <v>320.54784809103302</v>
      </c>
      <c r="J11" s="96">
        <f t="shared" si="2"/>
        <v>5.6010657357920817</v>
      </c>
      <c r="K11" s="96">
        <f>AVERAGE($J$3:J11)</f>
        <v>10.553891798108436</v>
      </c>
      <c r="L11" s="77">
        <f>SUM($F$3:F11)/I11</f>
        <v>-1.9999107352079932</v>
      </c>
      <c r="M11" s="55" t="s">
        <v>1185</v>
      </c>
    </row>
    <row r="12" spans="1:20" x14ac:dyDescent="0.35">
      <c r="A12" s="78">
        <v>11</v>
      </c>
      <c r="B12" s="34">
        <v>3312.029</v>
      </c>
      <c r="C12" s="96">
        <f t="shared" si="0"/>
        <v>3403.7763963463858</v>
      </c>
      <c r="D12" s="77">
        <f t="shared" si="3"/>
        <v>51.729325365283458</v>
      </c>
      <c r="E12" s="96">
        <f t="shared" si="4"/>
        <v>3458.3976955403232</v>
      </c>
      <c r="F12" s="96">
        <f t="shared" si="1"/>
        <v>146.36869554032319</v>
      </c>
      <c r="G12" s="96">
        <f t="shared" si="5"/>
        <v>146.36869554032319</v>
      </c>
      <c r="H12" s="96">
        <f>SUMSQ($G$3:G12)/A12</f>
        <v>140365.02045235038</v>
      </c>
      <c r="I12" s="96">
        <f>SUM($G$3:G12)/A12</f>
        <v>304.71337967733211</v>
      </c>
      <c r="J12" s="96">
        <f t="shared" si="2"/>
        <v>4.4193059764972826</v>
      </c>
      <c r="K12" s="96">
        <f>AVERAGE($J$3:J12)</f>
        <v>9.940433215947321</v>
      </c>
      <c r="L12" s="77">
        <f>SUM($F$3:F12)/I12</f>
        <v>-1.6234875788145635</v>
      </c>
      <c r="M12" s="54" t="s">
        <v>1185</v>
      </c>
    </row>
    <row r="13" spans="1:20" x14ac:dyDescent="0.35">
      <c r="A13" s="79">
        <v>12</v>
      </c>
      <c r="B13" s="50">
        <v>2360.7350000000001</v>
      </c>
      <c r="C13" s="96">
        <f t="shared" si="0"/>
        <v>3046.9634516679889</v>
      </c>
      <c r="D13" s="77">
        <f t="shared" si="3"/>
        <v>51.729325365283458</v>
      </c>
      <c r="E13" s="96">
        <f t="shared" si="4"/>
        <v>3455.5057217116691</v>
      </c>
      <c r="F13" s="96">
        <f t="shared" si="1"/>
        <v>1094.770721711669</v>
      </c>
      <c r="G13" s="96">
        <f t="shared" si="5"/>
        <v>1094.770721711669</v>
      </c>
      <c r="H13" s="96">
        <f>SUMSQ($G$3:G13)/A13</f>
        <v>228544.84650774524</v>
      </c>
      <c r="I13" s="96">
        <f>SUM($G$3:G13)/A13</f>
        <v>370.55149151352686</v>
      </c>
      <c r="J13" s="96">
        <f t="shared" si="2"/>
        <v>46.374147107221646</v>
      </c>
      <c r="K13" s="96">
        <f>AVERAGE($J$3:J13)</f>
        <v>13.252589024244987</v>
      </c>
      <c r="L13" s="77">
        <f>SUM($F$3:F13)/I13</f>
        <v>1.6194033715959522</v>
      </c>
      <c r="M13" s="55" t="s">
        <v>1185</v>
      </c>
    </row>
    <row r="14" spans="1:20" x14ac:dyDescent="0.35">
      <c r="A14" s="78">
        <v>13</v>
      </c>
      <c r="B14" s="34">
        <v>2895.9360000000001</v>
      </c>
      <c r="C14" s="96">
        <f>$O$2*B14+(1-$O$2)*(C13+D13)</f>
        <v>3023.0287934126641</v>
      </c>
      <c r="D14" s="77">
        <f>$O$3*(C14-C13)+(1-$O$3)*D13</f>
        <v>51.729325365283458</v>
      </c>
      <c r="E14" s="96">
        <f>C13+D13</f>
        <v>3098.6927770332723</v>
      </c>
      <c r="F14" s="96">
        <f t="shared" si="1"/>
        <v>202.7567770332721</v>
      </c>
      <c r="G14" s="96">
        <f t="shared" si="5"/>
        <v>202.7567770332721</v>
      </c>
      <c r="H14" s="96">
        <f>SUMSQ($G$3:G14)/A14</f>
        <v>214126.80528660485</v>
      </c>
      <c r="I14" s="96">
        <f>SUM($G$3:G14)/A14</f>
        <v>357.64420578427655</v>
      </c>
      <c r="J14" s="96">
        <f t="shared" si="2"/>
        <v>7.0014246527986836</v>
      </c>
      <c r="K14" s="96">
        <f>AVERAGE($J$3:J14)</f>
        <v>12.731658659957795</v>
      </c>
      <c r="L14" s="77">
        <f>SUM($F$3:F14)/I14</f>
        <v>2.2447703576789833</v>
      </c>
      <c r="M14" s="54" t="s">
        <v>1186</v>
      </c>
    </row>
    <row r="15" spans="1:20" x14ac:dyDescent="0.35">
      <c r="A15" s="79">
        <v>14</v>
      </c>
      <c r="B15" s="50">
        <v>3115.0299999999997</v>
      </c>
      <c r="C15" s="96">
        <f t="shared" ref="C15:C60" si="6">$O$2*B15+(1-$O$2)*(C14+D14)</f>
        <v>3089.7866224153695</v>
      </c>
      <c r="D15" s="77">
        <f t="shared" ref="D15:D60" si="7">$O$3*(C15-C14)+(1-$O$3)*D14</f>
        <v>51.729325365283458</v>
      </c>
      <c r="E15" s="96">
        <f t="shared" ref="E15:E60" si="8">C14+D14</f>
        <v>3074.7581187779474</v>
      </c>
      <c r="F15" s="96">
        <f t="shared" si="1"/>
        <v>-40.271881222052343</v>
      </c>
      <c r="G15" s="96">
        <f t="shared" si="5"/>
        <v>40.271881222052343</v>
      </c>
      <c r="H15" s="96">
        <f>SUMSQ($G$3:G15)/A15</f>
        <v>198947.87808164471</v>
      </c>
      <c r="I15" s="96">
        <f>SUM($G$3:G15)/A15</f>
        <v>334.9747540298319</v>
      </c>
      <c r="J15" s="96">
        <f t="shared" si="2"/>
        <v>1.2928248274351242</v>
      </c>
      <c r="K15" s="96">
        <f>AVERAGE($J$3:J15)</f>
        <v>11.851748365148357</v>
      </c>
      <c r="L15" s="77">
        <f>SUM($F$3:F15)/I15</f>
        <v>2.2764617970291066</v>
      </c>
      <c r="M15" s="55" t="s">
        <v>1186</v>
      </c>
    </row>
    <row r="16" spans="1:20" x14ac:dyDescent="0.35">
      <c r="A16" s="78">
        <v>15</v>
      </c>
      <c r="B16" s="34">
        <v>4035.8679999999999</v>
      </c>
      <c r="C16" s="96">
        <f t="shared" si="6"/>
        <v>3475.2667600609129</v>
      </c>
      <c r="D16" s="77">
        <f t="shared" si="7"/>
        <v>51.729325365283458</v>
      </c>
      <c r="E16" s="96">
        <f t="shared" si="8"/>
        <v>3141.5159477806528</v>
      </c>
      <c r="F16" s="96">
        <f t="shared" si="1"/>
        <v>-894.35205221934712</v>
      </c>
      <c r="G16" s="96">
        <f t="shared" si="5"/>
        <v>894.35205221934712</v>
      </c>
      <c r="H16" s="96">
        <f>SUMSQ($G$3:G16)/A16</f>
        <v>239009.05909679891</v>
      </c>
      <c r="I16" s="96">
        <f>SUM($G$3:G16)/A16</f>
        <v>372.26657390913289</v>
      </c>
      <c r="J16" s="96">
        <f t="shared" si="2"/>
        <v>22.160091762648012</v>
      </c>
      <c r="K16" s="96">
        <f>AVERAGE($J$3:J16)</f>
        <v>12.588058607826905</v>
      </c>
      <c r="L16" s="77">
        <f>SUM($F$3:F16)/I16</f>
        <v>-0.35403345596476543</v>
      </c>
      <c r="M16" s="54" t="s">
        <v>1186</v>
      </c>
    </row>
    <row r="17" spans="1:13" x14ac:dyDescent="0.35">
      <c r="A17" s="79">
        <v>16</v>
      </c>
      <c r="B17" s="50">
        <v>2831.4769999999999</v>
      </c>
      <c r="C17" s="96">
        <f t="shared" si="6"/>
        <v>3267.4449845578274</v>
      </c>
      <c r="D17" s="77">
        <f t="shared" si="7"/>
        <v>51.729325365283458</v>
      </c>
      <c r="E17" s="96">
        <f t="shared" si="8"/>
        <v>3526.9960854261963</v>
      </c>
      <c r="F17" s="96">
        <f t="shared" si="1"/>
        <v>695.5190854261964</v>
      </c>
      <c r="G17" s="96">
        <f t="shared" si="5"/>
        <v>695.5190854261964</v>
      </c>
      <c r="H17" s="96">
        <f>SUMSQ($G$3:G17)/A17</f>
        <v>254305.16779025478</v>
      </c>
      <c r="I17" s="96">
        <f>SUM($G$3:G17)/A17</f>
        <v>392.46985587894937</v>
      </c>
      <c r="J17" s="96">
        <f t="shared" si="2"/>
        <v>24.563826067674093</v>
      </c>
      <c r="K17" s="96">
        <f>AVERAGE($J$3:J17)</f>
        <v>13.38644310515005</v>
      </c>
      <c r="L17" s="77">
        <f>SUM($F$3:F17)/I17</f>
        <v>1.436350474516072</v>
      </c>
      <c r="M17" s="55" t="s">
        <v>1186</v>
      </c>
    </row>
    <row r="18" spans="1:13" x14ac:dyDescent="0.35">
      <c r="A18" s="78">
        <v>17</v>
      </c>
      <c r="B18" s="34">
        <v>3900.4079999999999</v>
      </c>
      <c r="C18" s="96">
        <f t="shared" si="6"/>
        <v>3536.0768324883948</v>
      </c>
      <c r="D18" s="77">
        <f t="shared" si="7"/>
        <v>51.729325365283458</v>
      </c>
      <c r="E18" s="96">
        <f t="shared" si="8"/>
        <v>3319.1743099231107</v>
      </c>
      <c r="F18" s="96">
        <f t="shared" si="1"/>
        <v>-581.23369007688916</v>
      </c>
      <c r="G18" s="96">
        <f t="shared" si="5"/>
        <v>581.23369007688916</v>
      </c>
      <c r="H18" s="96">
        <f>SUMSQ($G$3:G18)/A18</f>
        <v>259218.54630143964</v>
      </c>
      <c r="I18" s="96">
        <f>SUM($G$3:G18)/A18</f>
        <v>403.57361083176937</v>
      </c>
      <c r="J18" s="96">
        <f t="shared" si="2"/>
        <v>14.901868985934014</v>
      </c>
      <c r="K18" s="96">
        <f>AVERAGE($J$3:J18)</f>
        <v>13.481157222699048</v>
      </c>
      <c r="L18" s="77">
        <f>SUM($F$3:F18)/I18</f>
        <v>-4.3385954586621138E-2</v>
      </c>
      <c r="M18" s="54" t="s">
        <v>1187</v>
      </c>
    </row>
    <row r="19" spans="1:13" x14ac:dyDescent="0.35">
      <c r="A19" s="79">
        <v>18</v>
      </c>
      <c r="B19" s="50">
        <v>3016.83</v>
      </c>
      <c r="C19" s="96">
        <f t="shared" si="6"/>
        <v>3374.7315011752034</v>
      </c>
      <c r="D19" s="77">
        <f t="shared" si="7"/>
        <v>51.729325365283458</v>
      </c>
      <c r="E19" s="96">
        <f t="shared" si="8"/>
        <v>3587.8061578536781</v>
      </c>
      <c r="F19" s="96">
        <f t="shared" si="1"/>
        <v>570.97615785367816</v>
      </c>
      <c r="G19" s="96">
        <f t="shared" si="5"/>
        <v>570.97615785367816</v>
      </c>
      <c r="H19" s="96">
        <f>SUMSQ($G$3:G19)/A19</f>
        <v>262929.3922201012</v>
      </c>
      <c r="I19" s="96">
        <f>SUM($G$3:G19)/A19</f>
        <v>412.87375233298656</v>
      </c>
      <c r="J19" s="96">
        <f t="shared" si="2"/>
        <v>18.926361705952214</v>
      </c>
      <c r="K19" s="96">
        <f>AVERAGE($J$3:J19)</f>
        <v>13.801463368772763</v>
      </c>
      <c r="L19" s="77">
        <f>SUM($F$3:F19)/I19</f>
        <v>1.3405229283148912</v>
      </c>
      <c r="M19" s="55" t="s">
        <v>1187</v>
      </c>
    </row>
    <row r="20" spans="1:13" x14ac:dyDescent="0.35">
      <c r="A20" s="78">
        <v>19</v>
      </c>
      <c r="B20" s="34">
        <v>4165.1149999999998</v>
      </c>
      <c r="C20" s="96">
        <f t="shared" si="6"/>
        <v>3702.1089114021001</v>
      </c>
      <c r="D20" s="77">
        <f t="shared" si="7"/>
        <v>51.729325365283458</v>
      </c>
      <c r="E20" s="96">
        <f t="shared" si="8"/>
        <v>3426.4608265404868</v>
      </c>
      <c r="F20" s="96">
        <f t="shared" si="1"/>
        <v>-738.654173459513</v>
      </c>
      <c r="G20" s="96">
        <f t="shared" si="5"/>
        <v>738.654173459513</v>
      </c>
      <c r="H20" s="96">
        <f>SUMSQ($G$3:G20)/A20</f>
        <v>277807.31831215677</v>
      </c>
      <c r="I20" s="96">
        <f>SUM($G$3:G20)/A20</f>
        <v>430.02009028701423</v>
      </c>
      <c r="J20" s="96">
        <f t="shared" si="2"/>
        <v>17.734304417993574</v>
      </c>
      <c r="K20" s="96">
        <f>AVERAGE($J$3:J20)</f>
        <v>14.01995453817392</v>
      </c>
      <c r="L20" s="77">
        <f>SUM($F$3:F20)/I20</f>
        <v>-0.43064834909024485</v>
      </c>
      <c r="M20" s="54" t="s">
        <v>1187</v>
      </c>
    </row>
    <row r="21" spans="1:13" x14ac:dyDescent="0.35">
      <c r="A21" s="79">
        <v>20</v>
      </c>
      <c r="B21" s="50">
        <v>2911.9210000000003</v>
      </c>
      <c r="C21" s="96">
        <f t="shared" si="6"/>
        <v>3439.6548445041421</v>
      </c>
      <c r="D21" s="77">
        <f t="shared" si="7"/>
        <v>51.729325365283458</v>
      </c>
      <c r="E21" s="96">
        <f t="shared" si="8"/>
        <v>3753.8382367673835</v>
      </c>
      <c r="F21" s="96">
        <f t="shared" si="1"/>
        <v>841.9172367673832</v>
      </c>
      <c r="G21" s="96">
        <f t="shared" si="5"/>
        <v>841.9172367673832</v>
      </c>
      <c r="H21" s="96">
        <f>SUMSQ($G$3:G21)/A21</f>
        <v>299358.18407485017</v>
      </c>
      <c r="I21" s="96">
        <f>SUM($G$3:G21)/A21</f>
        <v>450.61494761103268</v>
      </c>
      <c r="J21" s="96">
        <f t="shared" si="2"/>
        <v>28.912777399090949</v>
      </c>
      <c r="K21" s="96">
        <f>AVERAGE($J$3:J21)</f>
        <v>14.803787320327448</v>
      </c>
      <c r="L21" s="77">
        <f>SUM($F$3:F21)/I21</f>
        <v>1.4574079228648371</v>
      </c>
      <c r="M21" s="55" t="s">
        <v>1187</v>
      </c>
    </row>
    <row r="22" spans="1:13" x14ac:dyDescent="0.35">
      <c r="A22" s="78">
        <v>21</v>
      </c>
      <c r="B22" s="34">
        <v>3185.0740000000001</v>
      </c>
      <c r="C22" s="96">
        <f t="shared" si="6"/>
        <v>3377.076534805653</v>
      </c>
      <c r="D22" s="77">
        <f t="shared" si="7"/>
        <v>51.729325365283458</v>
      </c>
      <c r="E22" s="96">
        <f t="shared" si="8"/>
        <v>3491.3841698694255</v>
      </c>
      <c r="F22" s="96">
        <f t="shared" si="1"/>
        <v>306.31016986942541</v>
      </c>
      <c r="G22" s="96">
        <f t="shared" si="5"/>
        <v>306.31016986942541</v>
      </c>
      <c r="H22" s="96">
        <f>SUMSQ($G$3:G22)/A22</f>
        <v>289570.93341249716</v>
      </c>
      <c r="I22" s="96">
        <f>SUM($G$3:G22)/A22</f>
        <v>443.74329152809895</v>
      </c>
      <c r="J22" s="96">
        <f t="shared" si="2"/>
        <v>9.6170503375879299</v>
      </c>
      <c r="K22" s="96">
        <f>AVERAGE($J$3:J22)</f>
        <v>14.544450471190473</v>
      </c>
      <c r="L22" s="77">
        <f>SUM($F$3:F22)/I22</f>
        <v>2.1702637156782476</v>
      </c>
      <c r="M22" s="54" t="s">
        <v>1188</v>
      </c>
    </row>
    <row r="23" spans="1:13" x14ac:dyDescent="0.35">
      <c r="A23" s="79">
        <v>22</v>
      </c>
      <c r="B23" s="50">
        <v>3265.3599999999997</v>
      </c>
      <c r="C23" s="96">
        <f t="shared" si="6"/>
        <v>3367.8117712542412</v>
      </c>
      <c r="D23" s="77">
        <f t="shared" si="7"/>
        <v>51.729325365283458</v>
      </c>
      <c r="E23" s="96">
        <f t="shared" si="8"/>
        <v>3428.8058601709363</v>
      </c>
      <c r="F23" s="96">
        <f t="shared" si="1"/>
        <v>163.44586017093661</v>
      </c>
      <c r="G23" s="96">
        <f t="shared" si="5"/>
        <v>163.44586017093661</v>
      </c>
      <c r="H23" s="96">
        <f>SUMSQ($G$3:G23)/A23</f>
        <v>277622.91594861174</v>
      </c>
      <c r="I23" s="96">
        <f>SUM($G$3:G23)/A23</f>
        <v>431.00249919368252</v>
      </c>
      <c r="J23" s="96">
        <f t="shared" si="2"/>
        <v>5.0054468778614494</v>
      </c>
      <c r="K23" s="96">
        <f>AVERAGE($J$3:J23)</f>
        <v>14.090212204841473</v>
      </c>
      <c r="L23" s="77">
        <f>SUM($F$3:F23)/I23</f>
        <v>2.6136410507071979</v>
      </c>
      <c r="M23" s="55" t="s">
        <v>1188</v>
      </c>
    </row>
    <row r="24" spans="1:13" x14ac:dyDescent="0.35">
      <c r="A24" s="78">
        <v>23</v>
      </c>
      <c r="B24" s="34">
        <v>4256.2119999999995</v>
      </c>
      <c r="C24" s="96">
        <f t="shared" si="6"/>
        <v>3731.7666826418922</v>
      </c>
      <c r="D24" s="77">
        <f t="shared" si="7"/>
        <v>51.729325365283458</v>
      </c>
      <c r="E24" s="96">
        <f t="shared" si="8"/>
        <v>3419.5410966195245</v>
      </c>
      <c r="F24" s="96">
        <f t="shared" si="1"/>
        <v>-836.67090338047501</v>
      </c>
      <c r="G24" s="96">
        <f t="shared" si="5"/>
        <v>836.67090338047501</v>
      </c>
      <c r="H24" s="96">
        <f>SUMSQ($G$3:G24)/A24</f>
        <v>295987.92832317209</v>
      </c>
      <c r="I24" s="96">
        <f>SUM($G$3:G24)/A24</f>
        <v>448.64025589745609</v>
      </c>
      <c r="J24" s="96">
        <f t="shared" si="2"/>
        <v>19.65764166306742</v>
      </c>
      <c r="K24" s="96">
        <f>AVERAGE($J$3:J24)</f>
        <v>14.343277180215379</v>
      </c>
      <c r="L24" s="77">
        <f>SUM($F$3:F24)/I24</f>
        <v>0.64598510200513826</v>
      </c>
      <c r="M24" s="54" t="s">
        <v>1188</v>
      </c>
    </row>
    <row r="25" spans="1:13" x14ac:dyDescent="0.35">
      <c r="A25" s="79">
        <v>24</v>
      </c>
      <c r="B25" s="50">
        <v>3411.14</v>
      </c>
      <c r="C25" s="96">
        <f t="shared" si="6"/>
        <v>3644.5416445420933</v>
      </c>
      <c r="D25" s="77">
        <f t="shared" si="7"/>
        <v>51.729325365283458</v>
      </c>
      <c r="E25" s="96">
        <f t="shared" si="8"/>
        <v>3783.4960080071755</v>
      </c>
      <c r="F25" s="96">
        <f t="shared" si="1"/>
        <v>372.35600800717566</v>
      </c>
      <c r="G25" s="96">
        <f t="shared" si="5"/>
        <v>372.35600800717566</v>
      </c>
      <c r="H25" s="96">
        <f>SUMSQ($G$3:G25)/A25</f>
        <v>289432.13950549992</v>
      </c>
      <c r="I25" s="96">
        <f>SUM($G$3:G25)/A25</f>
        <v>445.46174556869437</v>
      </c>
      <c r="J25" s="96">
        <f t="shared" si="2"/>
        <v>10.915881728899302</v>
      </c>
      <c r="K25" s="96">
        <f>AVERAGE($J$3:J25)</f>
        <v>14.194259986679898</v>
      </c>
      <c r="L25" s="77">
        <f>SUM($F$3:F25)/I25</f>
        <v>1.4864821414268719</v>
      </c>
      <c r="M25" s="55" t="s">
        <v>1188</v>
      </c>
    </row>
    <row r="26" spans="1:13" x14ac:dyDescent="0.35">
      <c r="A26" s="78">
        <v>25</v>
      </c>
      <c r="B26" s="34">
        <v>3494.1019999999999</v>
      </c>
      <c r="C26" s="96">
        <f t="shared" si="6"/>
        <v>3620.8263418584866</v>
      </c>
      <c r="D26" s="77">
        <f t="shared" si="7"/>
        <v>51.729325365283458</v>
      </c>
      <c r="E26" s="96">
        <f t="shared" si="8"/>
        <v>3696.2709699073766</v>
      </c>
      <c r="F26" s="96">
        <f t="shared" si="1"/>
        <v>202.16896990737678</v>
      </c>
      <c r="G26" s="96">
        <f t="shared" si="5"/>
        <v>202.16896990737678</v>
      </c>
      <c r="H26" s="96">
        <f>SUMSQ($G$3:G26)/A26</f>
        <v>279489.74562101631</v>
      </c>
      <c r="I26" s="96">
        <f>SUM($G$3:G26)/A26</f>
        <v>435.73003454224164</v>
      </c>
      <c r="J26" s="96">
        <f t="shared" si="2"/>
        <v>5.7860065306444053</v>
      </c>
      <c r="K26" s="96">
        <f>AVERAGE($J$3:J26)</f>
        <v>13.843916092678418</v>
      </c>
      <c r="L26" s="77">
        <f>SUM($F$3:F26)/I26</f>
        <v>1.9836592175522592</v>
      </c>
      <c r="M26" s="54" t="s">
        <v>1189</v>
      </c>
    </row>
    <row r="27" spans="1:13" x14ac:dyDescent="0.35">
      <c r="A27" s="79">
        <v>26</v>
      </c>
      <c r="B27" s="50">
        <v>3692.1639999999998</v>
      </c>
      <c r="C27" s="96">
        <f t="shared" si="6"/>
        <v>3679.8730284075327</v>
      </c>
      <c r="D27" s="77">
        <f t="shared" si="7"/>
        <v>51.729325365283458</v>
      </c>
      <c r="E27" s="96">
        <f t="shared" si="8"/>
        <v>3672.5556672237699</v>
      </c>
      <c r="F27" s="96">
        <f t="shared" si="1"/>
        <v>-19.608332776229872</v>
      </c>
      <c r="G27" s="96">
        <f t="shared" si="5"/>
        <v>19.608332776229872</v>
      </c>
      <c r="H27" s="96">
        <f>SUMSQ($G$3:G27)/A27</f>
        <v>268754.9279707566</v>
      </c>
      <c r="I27" s="96">
        <f>SUM($G$3:G27)/A27</f>
        <v>419.72535370508734</v>
      </c>
      <c r="J27" s="96">
        <f t="shared" si="2"/>
        <v>0.53107968054046006</v>
      </c>
      <c r="K27" s="96">
        <f>AVERAGE($J$3:J27)</f>
        <v>13.3114026361929</v>
      </c>
      <c r="L27" s="77">
        <f>SUM($F$3:F27)/I27</f>
        <v>2.012581701703414</v>
      </c>
      <c r="M27" s="55" t="s">
        <v>1189</v>
      </c>
    </row>
    <row r="28" spans="1:13" x14ac:dyDescent="0.35">
      <c r="A28" s="78">
        <v>27</v>
      </c>
      <c r="B28" s="34">
        <v>3714.1660000000002</v>
      </c>
      <c r="C28" s="96">
        <f t="shared" si="6"/>
        <v>3725.0955232462438</v>
      </c>
      <c r="D28" s="77">
        <f t="shared" si="7"/>
        <v>51.729325365283458</v>
      </c>
      <c r="E28" s="96">
        <f t="shared" si="8"/>
        <v>3731.6023537728161</v>
      </c>
      <c r="F28" s="96">
        <f t="shared" si="1"/>
        <v>17.436353772815892</v>
      </c>
      <c r="G28" s="96">
        <f t="shared" si="5"/>
        <v>17.436353772815892</v>
      </c>
      <c r="H28" s="96">
        <f>SUMSQ($G$3:G28)/A28</f>
        <v>258812.30198787266</v>
      </c>
      <c r="I28" s="96">
        <f>SUM($G$3:G28)/A28</f>
        <v>404.82576111500316</v>
      </c>
      <c r="J28" s="96">
        <f t="shared" si="2"/>
        <v>0.46945542479296543</v>
      </c>
      <c r="K28" s="96">
        <f>AVERAGE($J$3:J28)</f>
        <v>12.817481589600593</v>
      </c>
      <c r="L28" s="77">
        <f>SUM($F$3:F28)/I28</f>
        <v>2.1297259295110491</v>
      </c>
      <c r="M28" s="54" t="s">
        <v>1189</v>
      </c>
    </row>
    <row r="29" spans="1:13" x14ac:dyDescent="0.35">
      <c r="A29" s="79">
        <v>28</v>
      </c>
      <c r="B29" s="50">
        <v>3807.252</v>
      </c>
      <c r="C29" s="96">
        <f t="shared" si="6"/>
        <v>3788.1795343486228</v>
      </c>
      <c r="D29" s="77">
        <f t="shared" si="7"/>
        <v>51.729325365283458</v>
      </c>
      <c r="E29" s="96">
        <f t="shared" si="8"/>
        <v>3776.8248486115272</v>
      </c>
      <c r="F29" s="96">
        <f t="shared" si="1"/>
        <v>-30.427151388472794</v>
      </c>
      <c r="G29" s="96">
        <f t="shared" si="5"/>
        <v>30.427151388472794</v>
      </c>
      <c r="H29" s="96">
        <f>SUMSQ($G$3:G29)/A29</f>
        <v>249602.07018622066</v>
      </c>
      <c r="I29" s="96">
        <f>SUM($G$3:G29)/A29</f>
        <v>391.45438219619848</v>
      </c>
      <c r="J29" s="96">
        <f t="shared" si="2"/>
        <v>0.79918932049869018</v>
      </c>
      <c r="K29" s="96">
        <f>AVERAGE($J$3:J29)</f>
        <v>12.37235965370793</v>
      </c>
      <c r="L29" s="77">
        <f>SUM($F$3:F29)/I29</f>
        <v>2.1247450707431943</v>
      </c>
      <c r="M29" s="55" t="s">
        <v>1189</v>
      </c>
    </row>
    <row r="30" spans="1:13" x14ac:dyDescent="0.35">
      <c r="A30" s="78">
        <v>29</v>
      </c>
      <c r="B30" s="34">
        <v>3889.8969999999999</v>
      </c>
      <c r="C30" s="96">
        <f t="shared" si="6"/>
        <v>3858.5632390307123</v>
      </c>
      <c r="D30" s="77">
        <f t="shared" si="7"/>
        <v>51.729325365283458</v>
      </c>
      <c r="E30" s="96">
        <f t="shared" si="8"/>
        <v>3839.9088597139062</v>
      </c>
      <c r="F30" s="96">
        <f t="shared" si="1"/>
        <v>-49.988140286093767</v>
      </c>
      <c r="G30" s="96">
        <f t="shared" si="5"/>
        <v>49.988140286093767</v>
      </c>
      <c r="H30" s="96">
        <f>SUMSQ($G$3:G30)/A30</f>
        <v>241081.26825460143</v>
      </c>
      <c r="I30" s="96">
        <f>SUM($G$3:G30)/A30</f>
        <v>379.67968419929832</v>
      </c>
      <c r="J30" s="96">
        <f t="shared" si="2"/>
        <v>1.2850761931766772</v>
      </c>
      <c r="K30" s="96">
        <f>AVERAGE($J$3:J30)</f>
        <v>11.976385244403243</v>
      </c>
      <c r="L30" s="77">
        <f>SUM($F$3:F30)/I30</f>
        <v>2.0589793482227781</v>
      </c>
      <c r="M30" s="54" t="s">
        <v>1190</v>
      </c>
    </row>
    <row r="31" spans="1:13" x14ac:dyDescent="0.35">
      <c r="A31" s="79">
        <v>30</v>
      </c>
      <c r="B31" s="50">
        <v>4010.0519999999997</v>
      </c>
      <c r="C31" s="96">
        <f t="shared" si="6"/>
        <v>3947.5204016697353</v>
      </c>
      <c r="D31" s="77">
        <f t="shared" si="7"/>
        <v>51.729325365283458</v>
      </c>
      <c r="E31" s="96">
        <f t="shared" si="8"/>
        <v>3910.2925643959957</v>
      </c>
      <c r="F31" s="96">
        <f t="shared" si="1"/>
        <v>-99.759435604004011</v>
      </c>
      <c r="G31" s="96">
        <f t="shared" si="5"/>
        <v>99.759435604004011</v>
      </c>
      <c r="H31" s="96">
        <f>SUMSQ($G$3:G31)/A31</f>
        <v>233376.95747918234</v>
      </c>
      <c r="I31" s="96">
        <f>SUM($G$3:G31)/A31</f>
        <v>370.34900924612185</v>
      </c>
      <c r="J31" s="96">
        <f t="shared" si="2"/>
        <v>2.4877342140202674</v>
      </c>
      <c r="K31" s="96">
        <f>AVERAGE($J$3:J31)</f>
        <v>11.649190381286589</v>
      </c>
      <c r="L31" s="77">
        <f>SUM($F$3:F31)/I31</f>
        <v>1.8414878292515344</v>
      </c>
      <c r="M31" s="55" t="s">
        <v>1190</v>
      </c>
    </row>
    <row r="32" spans="1:13" x14ac:dyDescent="0.35">
      <c r="A32" s="78">
        <v>31</v>
      </c>
      <c r="B32" s="34">
        <v>3947.6409999999996</v>
      </c>
      <c r="C32" s="96">
        <f t="shared" si="6"/>
        <v>3979.9905834729898</v>
      </c>
      <c r="D32" s="77">
        <f t="shared" si="7"/>
        <v>51.729325365283458</v>
      </c>
      <c r="E32" s="96">
        <f t="shared" si="8"/>
        <v>3999.2497270350186</v>
      </c>
      <c r="F32" s="96">
        <f t="shared" si="1"/>
        <v>51.608727035019001</v>
      </c>
      <c r="G32" s="96">
        <f t="shared" si="5"/>
        <v>51.608727035019001</v>
      </c>
      <c r="H32" s="96">
        <f>SUMSQ($G$3:G32)/A32</f>
        <v>225934.58661553697</v>
      </c>
      <c r="I32" s="96">
        <f>SUM($G$3:G32)/A32</f>
        <v>360.06706465866699</v>
      </c>
      <c r="J32" s="96">
        <f t="shared" si="2"/>
        <v>1.307330809336994</v>
      </c>
      <c r="K32" s="96">
        <f>AVERAGE($J$3:J32)</f>
        <v>11.304461728888269</v>
      </c>
      <c r="L32" s="77">
        <f>SUM($F$3:F32)/I32</f>
        <v>2.0374035621184889</v>
      </c>
      <c r="M32" s="54" t="s">
        <v>1190</v>
      </c>
    </row>
    <row r="33" spans="1:13" x14ac:dyDescent="0.35">
      <c r="A33" s="79">
        <v>32</v>
      </c>
      <c r="B33" s="50">
        <v>4314.2849999999999</v>
      </c>
      <c r="C33" s="96">
        <f t="shared" si="6"/>
        <v>4137.1664479983829</v>
      </c>
      <c r="D33" s="77">
        <f t="shared" si="7"/>
        <v>51.729325365283458</v>
      </c>
      <c r="E33" s="96">
        <f t="shared" si="8"/>
        <v>4031.7199088382731</v>
      </c>
      <c r="F33" s="96">
        <f t="shared" si="1"/>
        <v>-282.56509116172674</v>
      </c>
      <c r="G33" s="96">
        <f t="shared" si="5"/>
        <v>282.56509116172674</v>
      </c>
      <c r="H33" s="96">
        <f>SUMSQ($G$3:G33)/A33</f>
        <v>221369.22549452752</v>
      </c>
      <c r="I33" s="96">
        <f>SUM($G$3:G33)/A33</f>
        <v>357.64512798688759</v>
      </c>
      <c r="J33" s="96">
        <f t="shared" si="2"/>
        <v>6.549523064927949</v>
      </c>
      <c r="K33" s="96">
        <f>AVERAGE($J$3:J33)</f>
        <v>11.151076610696</v>
      </c>
      <c r="L33" s="77">
        <f>SUM($F$3:F33)/I33</f>
        <v>1.2611295210819315</v>
      </c>
      <c r="M33" s="55" t="s">
        <v>1190</v>
      </c>
    </row>
    <row r="34" spans="1:13" x14ac:dyDescent="0.35">
      <c r="A34" s="78">
        <v>33</v>
      </c>
      <c r="B34" s="34">
        <v>4375.1080000000002</v>
      </c>
      <c r="C34" s="96">
        <f t="shared" si="6"/>
        <v>4258.3857261648818</v>
      </c>
      <c r="D34" s="77">
        <f t="shared" si="7"/>
        <v>51.729325365283458</v>
      </c>
      <c r="E34" s="96">
        <f t="shared" si="8"/>
        <v>4188.8957733636662</v>
      </c>
      <c r="F34" s="96">
        <f t="shared" si="1"/>
        <v>-186.21222663633398</v>
      </c>
      <c r="G34" s="96">
        <f t="shared" si="5"/>
        <v>186.21222663633398</v>
      </c>
      <c r="H34" s="96">
        <f>SUMSQ($G$3:G34)/A34</f>
        <v>215711.82452041641</v>
      </c>
      <c r="I34" s="96">
        <f>SUM($G$3:G34)/A34</f>
        <v>352.45019158232532</v>
      </c>
      <c r="J34" s="96">
        <f t="shared" si="2"/>
        <v>4.2561743992681773</v>
      </c>
      <c r="K34" s="96">
        <f>AVERAGE($J$3:J34)</f>
        <v>10.93561091658888</v>
      </c>
      <c r="L34" s="77">
        <f>SUM($F$3:F34)/I34</f>
        <v>0.7513816382114179</v>
      </c>
      <c r="M34" s="54" t="s">
        <v>1191</v>
      </c>
    </row>
    <row r="35" spans="1:13" x14ac:dyDescent="0.35">
      <c r="A35" s="79">
        <v>34</v>
      </c>
      <c r="B35" s="50">
        <v>4398.5460000000003</v>
      </c>
      <c r="C35" s="96">
        <f t="shared" si="6"/>
        <v>4343.1153681384658</v>
      </c>
      <c r="D35" s="77">
        <f t="shared" si="7"/>
        <v>51.729325365283458</v>
      </c>
      <c r="E35" s="96">
        <f t="shared" si="8"/>
        <v>4310.1150515301651</v>
      </c>
      <c r="F35" s="96">
        <f t="shared" si="1"/>
        <v>-88.43094846983513</v>
      </c>
      <c r="G35" s="96">
        <f t="shared" si="5"/>
        <v>88.43094846983513</v>
      </c>
      <c r="H35" s="96">
        <f>SUMSQ($G$3:G35)/A35</f>
        <v>209597.3600535593</v>
      </c>
      <c r="I35" s="96">
        <f>SUM($G$3:G35)/A35</f>
        <v>344.68491972607563</v>
      </c>
      <c r="J35" s="96">
        <f t="shared" si="2"/>
        <v>2.0104586486042235</v>
      </c>
      <c r="K35" s="96">
        <f>AVERAGE($J$3:J35)</f>
        <v>10.665151756952982</v>
      </c>
      <c r="L35" s="77">
        <f>SUM($F$3:F35)/I35</f>
        <v>0.51175332535407192</v>
      </c>
      <c r="M35" s="55" t="s">
        <v>1191</v>
      </c>
    </row>
    <row r="36" spans="1:13" x14ac:dyDescent="0.35">
      <c r="A36" s="78">
        <v>35</v>
      </c>
      <c r="B36" s="34">
        <v>4257.6869999999999</v>
      </c>
      <c r="C36" s="96">
        <f t="shared" si="6"/>
        <v>4343.6607201413935</v>
      </c>
      <c r="D36" s="77">
        <f t="shared" si="7"/>
        <v>51.729325365283458</v>
      </c>
      <c r="E36" s="96">
        <f t="shared" si="8"/>
        <v>4394.8446935037491</v>
      </c>
      <c r="F36" s="96">
        <f t="shared" si="1"/>
        <v>137.15769350374921</v>
      </c>
      <c r="G36" s="96">
        <f t="shared" si="5"/>
        <v>137.15769350374921</v>
      </c>
      <c r="H36" s="96">
        <f>SUMSQ($G$3:G36)/A36</f>
        <v>204146.3564202367</v>
      </c>
      <c r="I36" s="96">
        <f>SUM($G$3:G36)/A36</f>
        <v>338.75557040543771</v>
      </c>
      <c r="J36" s="96">
        <f t="shared" si="2"/>
        <v>3.2214132580377379</v>
      </c>
      <c r="K36" s="96">
        <f>AVERAGE($J$3:J36)</f>
        <v>10.446218271690768</v>
      </c>
      <c r="L36" s="77">
        <f>SUM($F$3:F36)/I36</f>
        <v>0.92559761304499755</v>
      </c>
      <c r="M36" s="54" t="s">
        <v>1191</v>
      </c>
    </row>
    <row r="37" spans="1:13" x14ac:dyDescent="0.35">
      <c r="A37" s="79">
        <v>36</v>
      </c>
      <c r="B37" s="50">
        <v>4518.3440000000001</v>
      </c>
      <c r="C37" s="96">
        <f t="shared" si="6"/>
        <v>4441.2735229173741</v>
      </c>
      <c r="D37" s="77">
        <f t="shared" si="7"/>
        <v>51.729325365283458</v>
      </c>
      <c r="E37" s="96">
        <f t="shared" si="8"/>
        <v>4395.3900455066769</v>
      </c>
      <c r="F37" s="96">
        <f t="shared" si="1"/>
        <v>-122.95395449332318</v>
      </c>
      <c r="G37" s="96">
        <f t="shared" si="5"/>
        <v>122.95395449332318</v>
      </c>
      <c r="H37" s="96">
        <f>SUMSQ($G$3:G37)/A37</f>
        <v>198895.55971205083</v>
      </c>
      <c r="I37" s="96">
        <f>SUM($G$3:G37)/A37</f>
        <v>332.76108107454564</v>
      </c>
      <c r="J37" s="96">
        <f t="shared" si="2"/>
        <v>2.7212172090775555</v>
      </c>
      <c r="K37" s="96">
        <f>AVERAGE($J$3:J37)</f>
        <v>10.225503955616105</v>
      </c>
      <c r="L37" s="77">
        <f>SUM($F$3:F37)/I37</f>
        <v>0.57277549485106005</v>
      </c>
      <c r="M37" s="55" t="s">
        <v>1191</v>
      </c>
    </row>
    <row r="38" spans="1:13" x14ac:dyDescent="0.35">
      <c r="A38" s="78">
        <v>37</v>
      </c>
      <c r="B38" s="34">
        <v>4358.7479999999996</v>
      </c>
      <c r="C38" s="96">
        <f t="shared" si="6"/>
        <v>4442.9021473833764</v>
      </c>
      <c r="D38" s="77">
        <f t="shared" si="7"/>
        <v>51.729325365283458</v>
      </c>
      <c r="E38" s="96">
        <f t="shared" si="8"/>
        <v>4493.0028482826574</v>
      </c>
      <c r="F38" s="96">
        <f t="shared" si="1"/>
        <v>134.2548482826578</v>
      </c>
      <c r="G38" s="96">
        <f t="shared" si="5"/>
        <v>134.2548482826578</v>
      </c>
      <c r="H38" s="96">
        <f>SUMSQ($G$3:G38)/A38</f>
        <v>194007.1490248981</v>
      </c>
      <c r="I38" s="96">
        <f>SUM($G$3:G38)/A38</f>
        <v>327.39604775584598</v>
      </c>
      <c r="J38" s="96">
        <f t="shared" si="2"/>
        <v>3.0801241155179842</v>
      </c>
      <c r="K38" s="96">
        <f>AVERAGE($J$3:J38)</f>
        <v>10.027021182280047</v>
      </c>
      <c r="L38" s="77">
        <f>SUM($F$3:F38)/I38</f>
        <v>0.99223018539478935</v>
      </c>
      <c r="M38" s="54" t="s">
        <v>1192</v>
      </c>
    </row>
    <row r="39" spans="1:13" x14ac:dyDescent="0.35">
      <c r="A39" s="79">
        <v>38</v>
      </c>
      <c r="B39" s="50">
        <v>4560.9520000000002</v>
      </c>
      <c r="C39" s="96">
        <f t="shared" si="6"/>
        <v>4519.380708562524</v>
      </c>
      <c r="D39" s="77">
        <f t="shared" si="7"/>
        <v>51.729325365283458</v>
      </c>
      <c r="E39" s="96">
        <f t="shared" si="8"/>
        <v>4494.6314727486597</v>
      </c>
      <c r="F39" s="96">
        <f t="shared" si="1"/>
        <v>-66.320527251340536</v>
      </c>
      <c r="G39" s="96">
        <f t="shared" si="5"/>
        <v>66.320527251340536</v>
      </c>
      <c r="H39" s="96">
        <f>SUMSQ($G$3:G39)/A39</f>
        <v>189017.44542779279</v>
      </c>
      <c r="I39" s="96">
        <f>SUM($G$3:G39)/A39</f>
        <v>320.52563932151691</v>
      </c>
      <c r="J39" s="96">
        <f t="shared" si="2"/>
        <v>1.4540939534408723</v>
      </c>
      <c r="K39" s="96">
        <f>AVERAGE($J$3:J39)</f>
        <v>9.7953204463654746</v>
      </c>
      <c r="L39" s="77">
        <f>SUM($F$3:F39)/I39</f>
        <v>0.80658668822319257</v>
      </c>
      <c r="M39" s="55" t="s">
        <v>1192</v>
      </c>
    </row>
    <row r="40" spans="1:13" x14ac:dyDescent="0.35">
      <c r="A40" s="78">
        <v>39</v>
      </c>
      <c r="B40" s="34">
        <v>4659.3</v>
      </c>
      <c r="C40" s="96">
        <f t="shared" si="6"/>
        <v>4604.0204216644079</v>
      </c>
      <c r="D40" s="77">
        <f t="shared" si="7"/>
        <v>51.729325365283458</v>
      </c>
      <c r="E40" s="96">
        <f t="shared" si="8"/>
        <v>4571.1100339278073</v>
      </c>
      <c r="F40" s="96">
        <f t="shared" si="1"/>
        <v>-88.189966072192874</v>
      </c>
      <c r="G40" s="96">
        <f t="shared" si="5"/>
        <v>88.189966072192874</v>
      </c>
      <c r="H40" s="96">
        <f>SUMSQ($G$3:G40)/A40</f>
        <v>184370.2665736395</v>
      </c>
      <c r="I40" s="96">
        <f>SUM($G$3:G40)/A40</f>
        <v>314.56831436640601</v>
      </c>
      <c r="J40" s="96">
        <f t="shared" si="2"/>
        <v>1.8927728644258335</v>
      </c>
      <c r="K40" s="96">
        <f>AVERAGE($J$3:J40)</f>
        <v>9.587358667893378</v>
      </c>
      <c r="L40" s="77">
        <f>SUM($F$3:F40)/I40</f>
        <v>0.54150955471109086</v>
      </c>
      <c r="M40" s="54" t="s">
        <v>1192</v>
      </c>
    </row>
    <row r="41" spans="1:13" x14ac:dyDescent="0.35">
      <c r="A41" s="79">
        <v>40</v>
      </c>
      <c r="B41" s="50">
        <v>4750.366</v>
      </c>
      <c r="C41" s="96">
        <f t="shared" si="6"/>
        <v>4691.0582714585144</v>
      </c>
      <c r="D41" s="77">
        <f t="shared" si="7"/>
        <v>51.729325365283458</v>
      </c>
      <c r="E41" s="96">
        <f t="shared" si="8"/>
        <v>4655.7497470296912</v>
      </c>
      <c r="F41" s="96">
        <f t="shared" si="1"/>
        <v>-94.616252970308778</v>
      </c>
      <c r="G41" s="96">
        <f t="shared" si="5"/>
        <v>94.616252970308778</v>
      </c>
      <c r="H41" s="96">
        <f>SUMSQ($G$3:G41)/A41</f>
        <v>179984.81579245202</v>
      </c>
      <c r="I41" s="96">
        <f>SUM($G$3:G41)/A41</f>
        <v>309.06951283150363</v>
      </c>
      <c r="J41" s="96">
        <f t="shared" si="2"/>
        <v>1.9917676442259138</v>
      </c>
      <c r="K41" s="96">
        <f>AVERAGE($J$3:J41)</f>
        <v>9.3925999236967765</v>
      </c>
      <c r="L41" s="77">
        <f>SUM($F$3:F41)/I41</f>
        <v>0.24501120856182826</v>
      </c>
      <c r="M41" s="55" t="s">
        <v>1192</v>
      </c>
    </row>
    <row r="42" spans="1:13" x14ac:dyDescent="0.35">
      <c r="A42" s="78">
        <v>41</v>
      </c>
      <c r="B42" s="34">
        <v>4532.5</v>
      </c>
      <c r="C42" s="96">
        <f t="shared" si="6"/>
        <v>4664.3132912321189</v>
      </c>
      <c r="D42" s="77">
        <f t="shared" si="7"/>
        <v>51.729325365283458</v>
      </c>
      <c r="E42" s="96">
        <f t="shared" si="8"/>
        <v>4742.7875968237977</v>
      </c>
      <c r="F42" s="96">
        <f t="shared" si="1"/>
        <v>210.28759682379768</v>
      </c>
      <c r="G42" s="96">
        <f t="shared" si="5"/>
        <v>210.28759682379768</v>
      </c>
      <c r="H42" s="96">
        <f>SUMSQ($G$3:G42)/A42</f>
        <v>176673.5001238051</v>
      </c>
      <c r="I42" s="96">
        <f>SUM($G$3:G42)/A42</f>
        <v>306.66019780692545</v>
      </c>
      <c r="J42" s="96">
        <f t="shared" si="2"/>
        <v>4.639549847188035</v>
      </c>
      <c r="K42" s="96">
        <f>AVERAGE($J$3:J42)</f>
        <v>9.273773671784058</v>
      </c>
      <c r="L42" s="77">
        <f>SUM($F$3:F42)/I42</f>
        <v>0.93267105981694731</v>
      </c>
      <c r="M42" s="54" t="s">
        <v>1193</v>
      </c>
    </row>
    <row r="43" spans="1:13" x14ac:dyDescent="0.35">
      <c r="A43" s="79">
        <v>42</v>
      </c>
      <c r="B43" s="50">
        <v>4794.3590000000004</v>
      </c>
      <c r="C43" s="96">
        <f t="shared" si="6"/>
        <v>4745.2684192448132</v>
      </c>
      <c r="D43" s="77">
        <f t="shared" si="7"/>
        <v>51.729325365283458</v>
      </c>
      <c r="E43" s="96">
        <f t="shared" si="8"/>
        <v>4716.0426165974022</v>
      </c>
      <c r="F43" s="96">
        <f t="shared" si="1"/>
        <v>-78.316383402598149</v>
      </c>
      <c r="G43" s="96">
        <f t="shared" si="5"/>
        <v>78.316383402598149</v>
      </c>
      <c r="H43" s="96">
        <f>SUMSQ($G$3:G43)/A43</f>
        <v>172613.02288060173</v>
      </c>
      <c r="I43" s="96">
        <f>SUM($G$3:G43)/A43</f>
        <v>301.22344032110811</v>
      </c>
      <c r="J43" s="96">
        <f t="shared" si="2"/>
        <v>1.6335110366703482</v>
      </c>
      <c r="K43" s="96">
        <f>AVERAGE($J$3:J43)</f>
        <v>9.087425802634943</v>
      </c>
      <c r="L43" s="77">
        <f>SUM($F$3:F43)/I43</f>
        <v>0.68951044469930467</v>
      </c>
      <c r="M43" s="55" t="s">
        <v>1193</v>
      </c>
    </row>
    <row r="44" spans="1:13" x14ac:dyDescent="0.35">
      <c r="A44" s="78">
        <v>43</v>
      </c>
      <c r="B44" s="34">
        <v>4187.83</v>
      </c>
      <c r="C44" s="96">
        <f t="shared" si="6"/>
        <v>4569.6709004730074</v>
      </c>
      <c r="D44" s="77">
        <f t="shared" si="7"/>
        <v>51.729325365283458</v>
      </c>
      <c r="E44" s="96">
        <f t="shared" si="8"/>
        <v>4796.9977446100966</v>
      </c>
      <c r="F44" s="96">
        <f t="shared" si="1"/>
        <v>609.16774461009663</v>
      </c>
      <c r="G44" s="96">
        <f t="shared" si="5"/>
        <v>609.16774461009663</v>
      </c>
      <c r="H44" s="96">
        <f>SUMSQ($G$3:G44)/A44</f>
        <v>177228.65818740986</v>
      </c>
      <c r="I44" s="96">
        <f>SUM($G$3:G44)/A44</f>
        <v>308.38493576968926</v>
      </c>
      <c r="J44" s="96">
        <f t="shared" si="2"/>
        <v>14.546143100605724</v>
      </c>
      <c r="K44" s="96">
        <f>AVERAGE($J$3:J44)</f>
        <v>9.217395262110438</v>
      </c>
      <c r="L44" s="77">
        <f>SUM($F$3:F44)/I44</f>
        <v>2.6488468084894272</v>
      </c>
      <c r="M44" s="54" t="s">
        <v>1193</v>
      </c>
    </row>
    <row r="45" spans="1:13" x14ac:dyDescent="0.35">
      <c r="A45" s="79">
        <v>44</v>
      </c>
      <c r="B45" s="50">
        <v>5120.07</v>
      </c>
      <c r="C45" s="96">
        <f t="shared" si="6"/>
        <v>4807.4918681318177</v>
      </c>
      <c r="D45" s="77">
        <f t="shared" si="7"/>
        <v>51.729325365283458</v>
      </c>
      <c r="E45" s="96">
        <f t="shared" si="8"/>
        <v>4621.4002258382907</v>
      </c>
      <c r="F45" s="96">
        <f t="shared" si="1"/>
        <v>-498.66977416170903</v>
      </c>
      <c r="G45" s="96">
        <f t="shared" si="5"/>
        <v>498.66977416170903</v>
      </c>
      <c r="H45" s="96">
        <f>SUMSQ($G$3:G45)/A45</f>
        <v>178852.36013002534</v>
      </c>
      <c r="I45" s="96">
        <f>SUM($G$3:G45)/A45</f>
        <v>312.70959118768968</v>
      </c>
      <c r="J45" s="96">
        <f t="shared" si="2"/>
        <v>9.7395108692207142</v>
      </c>
      <c r="K45" s="96">
        <f>AVERAGE($J$3:J45)</f>
        <v>9.2295374855316084</v>
      </c>
      <c r="L45" s="77">
        <f>SUM($F$3:F45)/I45</f>
        <v>1.0175405158809712</v>
      </c>
      <c r="M45" s="55" t="s">
        <v>1193</v>
      </c>
    </row>
    <row r="46" spans="1:13" x14ac:dyDescent="0.35">
      <c r="A46" s="78">
        <v>45</v>
      </c>
      <c r="B46" s="34">
        <v>4755.9179999999997</v>
      </c>
      <c r="C46" s="96">
        <f t="shared" si="6"/>
        <v>4820.6709104679003</v>
      </c>
      <c r="D46" s="77">
        <f t="shared" si="7"/>
        <v>51.729325365283458</v>
      </c>
      <c r="E46" s="96">
        <f t="shared" si="8"/>
        <v>4859.221193497101</v>
      </c>
      <c r="F46" s="96">
        <f t="shared" si="1"/>
        <v>103.30319349710135</v>
      </c>
      <c r="G46" s="96">
        <f t="shared" si="5"/>
        <v>103.30319349710135</v>
      </c>
      <c r="H46" s="96">
        <f>SUMSQ($G$3:G46)/A46</f>
        <v>175115.00878906253</v>
      </c>
      <c r="I46" s="96">
        <f>SUM($G$3:G46)/A46</f>
        <v>308.05611568345438</v>
      </c>
      <c r="J46" s="96">
        <f t="shared" si="2"/>
        <v>2.1720978683211394</v>
      </c>
      <c r="K46" s="96">
        <f>AVERAGE($J$3:J46)</f>
        <v>9.0691411305950069</v>
      </c>
      <c r="L46" s="77">
        <f>SUM($F$3:F46)/I46</f>
        <v>1.3682502984886828</v>
      </c>
      <c r="M46" s="54" t="s">
        <v>1194</v>
      </c>
    </row>
    <row r="47" spans="1:13" x14ac:dyDescent="0.35">
      <c r="A47" s="79">
        <v>46</v>
      </c>
      <c r="B47" s="50">
        <v>5158.3530000000001</v>
      </c>
      <c r="C47" s="96">
        <f t="shared" si="6"/>
        <v>4979.1109735987347</v>
      </c>
      <c r="D47" s="77">
        <f t="shared" si="7"/>
        <v>51.729325365283458</v>
      </c>
      <c r="E47" s="96">
        <f t="shared" si="8"/>
        <v>4872.4002358331836</v>
      </c>
      <c r="F47" s="96">
        <f t="shared" si="1"/>
        <v>-285.95276416681645</v>
      </c>
      <c r="G47" s="96">
        <f t="shared" si="5"/>
        <v>285.95276416681645</v>
      </c>
      <c r="H47" s="96">
        <f>SUMSQ($G$3:G47)/A47</f>
        <v>173085.74736614036</v>
      </c>
      <c r="I47" s="96">
        <f>SUM($G$3:G47)/A47</f>
        <v>307.57560804178831</v>
      </c>
      <c r="J47" s="96">
        <f t="shared" si="2"/>
        <v>5.5434896403331928</v>
      </c>
      <c r="K47" s="96">
        <f>AVERAGE($J$3:J47)</f>
        <v>8.9907933197002983</v>
      </c>
      <c r="L47" s="77">
        <f>SUM($F$3:F47)/I47</f>
        <v>0.44068874294452698</v>
      </c>
      <c r="M47" s="55" t="s">
        <v>1194</v>
      </c>
    </row>
    <row r="48" spans="1:13" x14ac:dyDescent="0.35">
      <c r="A48" s="78">
        <v>47</v>
      </c>
      <c r="B48" s="34">
        <v>5027.1220000000003</v>
      </c>
      <c r="C48" s="96">
        <f t="shared" si="6"/>
        <v>5029.4527186521464</v>
      </c>
      <c r="D48" s="77">
        <f t="shared" si="7"/>
        <v>51.729325365283458</v>
      </c>
      <c r="E48" s="96">
        <f t="shared" si="8"/>
        <v>5030.8402989640181</v>
      </c>
      <c r="F48" s="96">
        <f t="shared" si="1"/>
        <v>3.7182989640177766</v>
      </c>
      <c r="G48" s="96">
        <f t="shared" si="5"/>
        <v>3.7182989640177766</v>
      </c>
      <c r="H48" s="96">
        <f>SUMSQ($G$3:G48)/A48</f>
        <v>169403.36605509877</v>
      </c>
      <c r="I48" s="96">
        <f>SUM($G$3:G48)/A48</f>
        <v>301.11055891247406</v>
      </c>
      <c r="J48" s="96">
        <f t="shared" si="2"/>
        <v>7.3964764810119515E-2</v>
      </c>
      <c r="K48" s="96">
        <f>AVERAGE($J$3:J48)</f>
        <v>8.796949220680947</v>
      </c>
      <c r="L48" s="77">
        <f>SUM($F$3:F48)/I48</f>
        <v>0.46249924790193986</v>
      </c>
      <c r="M48" s="54" t="s">
        <v>1194</v>
      </c>
    </row>
    <row r="49" spans="1:13" x14ac:dyDescent="0.35">
      <c r="A49" s="79">
        <v>48</v>
      </c>
      <c r="B49" s="50">
        <v>5410.277</v>
      </c>
      <c r="C49" s="96">
        <f t="shared" si="6"/>
        <v>5203.9924167380605</v>
      </c>
      <c r="D49" s="77">
        <f t="shared" si="7"/>
        <v>51.729325365283458</v>
      </c>
      <c r="E49" s="96">
        <f t="shared" si="8"/>
        <v>5081.1820440174297</v>
      </c>
      <c r="F49" s="96">
        <f t="shared" si="1"/>
        <v>-329.09495598257035</v>
      </c>
      <c r="G49" s="96">
        <f t="shared" si="5"/>
        <v>329.09495598257035</v>
      </c>
      <c r="H49" s="96">
        <f>SUMSQ($G$3:G49)/A49</f>
        <v>168130.45197172527</v>
      </c>
      <c r="I49" s="96">
        <f>SUM($G$3:G49)/A49</f>
        <v>301.69356718476774</v>
      </c>
      <c r="J49" s="96">
        <f t="shared" si="2"/>
        <v>6.0827746154692335</v>
      </c>
      <c r="K49" s="96">
        <f>AVERAGE($J$3:J49)</f>
        <v>8.7392008248253799</v>
      </c>
      <c r="L49" s="77">
        <f>SUM($F$3:F49)/I49</f>
        <v>-0.62921974346890475</v>
      </c>
      <c r="M49" s="55" t="s">
        <v>1194</v>
      </c>
    </row>
    <row r="50" spans="1:13" x14ac:dyDescent="0.35">
      <c r="A50" s="78">
        <v>49</v>
      </c>
      <c r="B50" s="34">
        <v>5386.6620000000003</v>
      </c>
      <c r="C50" s="96">
        <f t="shared" si="6"/>
        <v>5304.5855170840687</v>
      </c>
      <c r="D50" s="77">
        <f t="shared" si="7"/>
        <v>51.729325365283458</v>
      </c>
      <c r="E50" s="96">
        <f t="shared" si="8"/>
        <v>5255.7217421033438</v>
      </c>
      <c r="F50" s="96">
        <f t="shared" si="1"/>
        <v>-130.94025789665648</v>
      </c>
      <c r="G50" s="96">
        <f t="shared" si="5"/>
        <v>130.94025789665648</v>
      </c>
      <c r="H50" s="96">
        <f>SUMSQ($G$3:G50)/A50</f>
        <v>165049.12338328277</v>
      </c>
      <c r="I50" s="96">
        <f>SUM($G$3:G50)/A50</f>
        <v>298.20880577072467</v>
      </c>
      <c r="J50" s="96">
        <f t="shared" si="2"/>
        <v>2.4308237252802658</v>
      </c>
      <c r="K50" s="96">
        <f>AVERAGE($J$3:J50)</f>
        <v>8.6077763019181894</v>
      </c>
      <c r="L50" s="77">
        <f>SUM($F$3:F50)/I50</f>
        <v>-1.075661753239767</v>
      </c>
      <c r="M50" s="54" t="s">
        <v>1195</v>
      </c>
    </row>
    <row r="51" spans="1:13" x14ac:dyDescent="0.35">
      <c r="A51" s="79">
        <v>50</v>
      </c>
      <c r="B51" s="50">
        <v>5543.451</v>
      </c>
      <c r="C51" s="96">
        <f t="shared" si="6"/>
        <v>5426.1495841872929</v>
      </c>
      <c r="D51" s="77">
        <f t="shared" si="7"/>
        <v>51.729325365283458</v>
      </c>
      <c r="E51" s="96">
        <f t="shared" si="8"/>
        <v>5356.314842449352</v>
      </c>
      <c r="F51" s="96">
        <f t="shared" si="1"/>
        <v>-187.13615755064802</v>
      </c>
      <c r="G51" s="96">
        <f t="shared" si="5"/>
        <v>187.13615755064802</v>
      </c>
      <c r="H51" s="96">
        <f>SUMSQ($G$3:G51)/A51</f>
        <v>162448.53974487356</v>
      </c>
      <c r="I51" s="96">
        <f>SUM($G$3:G51)/A51</f>
        <v>295.98735280632309</v>
      </c>
      <c r="J51" s="96">
        <f t="shared" si="2"/>
        <v>3.3758061097797749</v>
      </c>
      <c r="K51" s="96">
        <f>AVERAGE($J$3:J51)</f>
        <v>8.5010014000378131</v>
      </c>
      <c r="L51" s="77">
        <f>SUM($F$3:F51)/I51</f>
        <v>-1.7159786037542903</v>
      </c>
      <c r="M51" s="55" t="s">
        <v>1195</v>
      </c>
    </row>
    <row r="52" spans="1:13" x14ac:dyDescent="0.35">
      <c r="A52" s="78">
        <v>51</v>
      </c>
      <c r="B52" s="34">
        <v>5764.6930000000002</v>
      </c>
      <c r="C52" s="96">
        <f t="shared" si="6"/>
        <v>5584.9110737017054</v>
      </c>
      <c r="D52" s="77">
        <f t="shared" si="7"/>
        <v>51.729325365283458</v>
      </c>
      <c r="E52" s="96">
        <f t="shared" si="8"/>
        <v>5477.8789095525763</v>
      </c>
      <c r="F52" s="96">
        <f t="shared" si="1"/>
        <v>-286.81409044742395</v>
      </c>
      <c r="G52" s="96">
        <f t="shared" si="5"/>
        <v>286.81409044742395</v>
      </c>
      <c r="H52" s="96">
        <f>SUMSQ($G$3:G52)/A52</f>
        <v>160876.26097495804</v>
      </c>
      <c r="I52" s="96">
        <f>SUM($G$3:G52)/A52</f>
        <v>295.80748491693294</v>
      </c>
      <c r="J52" s="96">
        <f t="shared" si="2"/>
        <v>4.9753575853462442</v>
      </c>
      <c r="K52" s="96">
        <f>AVERAGE($J$3:J52)</f>
        <v>8.4304885237439819</v>
      </c>
      <c r="L52" s="77">
        <f>SUM($F$3:F52)/I52</f>
        <v>-2.6866191539004376</v>
      </c>
      <c r="M52" s="54" t="s">
        <v>1195</v>
      </c>
    </row>
    <row r="53" spans="1:13" x14ac:dyDescent="0.35">
      <c r="A53" s="79">
        <v>52</v>
      </c>
      <c r="B53" s="50">
        <v>6170.3580000000002</v>
      </c>
      <c r="C53" s="96">
        <f t="shared" si="6"/>
        <v>5835.8110527236058</v>
      </c>
      <c r="D53" s="77">
        <f t="shared" si="7"/>
        <v>51.729325365283458</v>
      </c>
      <c r="E53" s="96">
        <f t="shared" si="8"/>
        <v>5636.6403990669887</v>
      </c>
      <c r="F53" s="96">
        <f t="shared" si="1"/>
        <v>-533.71760093301145</v>
      </c>
      <c r="G53" s="96">
        <f t="shared" si="5"/>
        <v>533.71760093301145</v>
      </c>
      <c r="H53" s="96">
        <f>SUMSQ($G$3:G53)/A53</f>
        <v>163260.45744747209</v>
      </c>
      <c r="I53" s="96">
        <f>SUM($G$3:G53)/A53</f>
        <v>300.38267945570362</v>
      </c>
      <c r="J53" s="96">
        <f t="shared" si="2"/>
        <v>8.6497023500583179</v>
      </c>
      <c r="K53" s="96">
        <f>AVERAGE($J$3:J53)</f>
        <v>8.4347868340638712</v>
      </c>
      <c r="L53" s="77">
        <f>SUM($F$3:F53)/I53</f>
        <v>-4.4224908646034589</v>
      </c>
      <c r="M53" s="55" t="s">
        <v>1195</v>
      </c>
    </row>
    <row r="54" spans="1:13" x14ac:dyDescent="0.35">
      <c r="A54" s="78">
        <v>53</v>
      </c>
      <c r="B54" s="34">
        <v>6077.558</v>
      </c>
      <c r="C54" s="96">
        <f t="shared" si="6"/>
        <v>5958.4504134636863</v>
      </c>
      <c r="D54" s="77">
        <f t="shared" si="7"/>
        <v>51.729325365283458</v>
      </c>
      <c r="E54" s="96">
        <f t="shared" si="8"/>
        <v>5887.5403780888892</v>
      </c>
      <c r="F54" s="96">
        <f t="shared" si="1"/>
        <v>-190.01762191111084</v>
      </c>
      <c r="G54" s="96">
        <f t="shared" si="5"/>
        <v>190.01762191111084</v>
      </c>
      <c r="H54" s="96">
        <f>SUMSQ($G$3:G54)/A54</f>
        <v>160861.32988500572</v>
      </c>
      <c r="I54" s="96">
        <f>SUM($G$3:G54)/A54</f>
        <v>298.3003198793906</v>
      </c>
      <c r="J54" s="96">
        <f t="shared" si="2"/>
        <v>3.1265455946469096</v>
      </c>
      <c r="K54" s="96">
        <f>AVERAGE($J$3:J54)</f>
        <v>8.3327052717673915</v>
      </c>
      <c r="L54" s="77">
        <f>SUM($F$3:F54)/I54</f>
        <v>-5.0903642285835122</v>
      </c>
      <c r="M54" s="54" t="s">
        <v>1196</v>
      </c>
    </row>
    <row r="55" spans="1:13" x14ac:dyDescent="0.35">
      <c r="A55" s="79">
        <v>54</v>
      </c>
      <c r="B55" s="50">
        <v>6345.5069999999996</v>
      </c>
      <c r="C55" s="96">
        <f t="shared" si="6"/>
        <v>6135.3158589036384</v>
      </c>
      <c r="D55" s="77">
        <f t="shared" si="7"/>
        <v>51.729325365283458</v>
      </c>
      <c r="E55" s="96">
        <f t="shared" si="8"/>
        <v>6010.1797388289697</v>
      </c>
      <c r="F55" s="96">
        <f t="shared" si="1"/>
        <v>-335.32726117102993</v>
      </c>
      <c r="G55" s="96">
        <f t="shared" si="5"/>
        <v>335.32726117102993</v>
      </c>
      <c r="H55" s="96">
        <f>SUMSQ($G$3:G55)/A55</f>
        <v>159964.71955536606</v>
      </c>
      <c r="I55" s="96">
        <f>SUM($G$3:G55)/A55</f>
        <v>298.98600397738386</v>
      </c>
      <c r="J55" s="96">
        <f t="shared" si="2"/>
        <v>5.2844833544589891</v>
      </c>
      <c r="K55" s="96">
        <f>AVERAGE($J$3:J55)</f>
        <v>8.2751916506861001</v>
      </c>
      <c r="L55" s="77">
        <f>SUM($F$3:F55)/I55</f>
        <v>-6.2002385201961641</v>
      </c>
      <c r="M55" s="55" t="s">
        <v>1196</v>
      </c>
    </row>
    <row r="56" spans="1:13" x14ac:dyDescent="0.35">
      <c r="A56" s="78">
        <v>55</v>
      </c>
      <c r="B56" s="34">
        <v>6394.8150000000005</v>
      </c>
      <c r="C56" s="96">
        <f t="shared" si="6"/>
        <v>6264.5799141278076</v>
      </c>
      <c r="D56" s="77">
        <f t="shared" si="7"/>
        <v>51.729325365283458</v>
      </c>
      <c r="E56" s="96">
        <f t="shared" si="8"/>
        <v>6187.0451842689217</v>
      </c>
      <c r="F56" s="96">
        <f t="shared" si="1"/>
        <v>-207.76981573107878</v>
      </c>
      <c r="G56" s="96">
        <f t="shared" si="5"/>
        <v>207.76981573107878</v>
      </c>
      <c r="H56" s="96">
        <f>SUMSQ($G$3:G56)/A56</f>
        <v>157841.14822397626</v>
      </c>
      <c r="I56" s="96">
        <f>SUM($G$3:G56)/A56</f>
        <v>297.32752782745104</v>
      </c>
      <c r="J56" s="96">
        <f t="shared" si="2"/>
        <v>3.2490355972937257</v>
      </c>
      <c r="K56" s="96">
        <f>AVERAGE($J$3:J56)</f>
        <v>8.1821146867343888</v>
      </c>
      <c r="L56" s="77">
        <f>SUM($F$3:F56)/I56</f>
        <v>-6.9336141515546643</v>
      </c>
      <c r="M56" s="54" t="s">
        <v>1196</v>
      </c>
    </row>
    <row r="57" spans="1:13" x14ac:dyDescent="0.35">
      <c r="A57" s="79">
        <v>56</v>
      </c>
      <c r="B57" s="50">
        <v>5744.5879999999997</v>
      </c>
      <c r="C57" s="96">
        <f t="shared" si="6"/>
        <v>6102.9565361530676</v>
      </c>
      <c r="D57" s="77">
        <f t="shared" si="7"/>
        <v>51.729325365283458</v>
      </c>
      <c r="E57" s="96">
        <f t="shared" si="8"/>
        <v>6316.3092394930909</v>
      </c>
      <c r="F57" s="96">
        <f t="shared" si="1"/>
        <v>571.72123949309116</v>
      </c>
      <c r="G57" s="96">
        <f t="shared" si="5"/>
        <v>571.72123949309116</v>
      </c>
      <c r="H57" s="96">
        <f>SUMSQ($G$3:G57)/A57</f>
        <v>160859.43442868232</v>
      </c>
      <c r="I57" s="96">
        <f>SUM($G$3:G57)/A57</f>
        <v>302.22741553576606</v>
      </c>
      <c r="J57" s="96">
        <f t="shared" si="2"/>
        <v>9.9523453987142538</v>
      </c>
      <c r="K57" s="96">
        <f>AVERAGE($J$3:J57)</f>
        <v>8.2143006996794785</v>
      </c>
      <c r="L57" s="77">
        <f>SUM($F$3:F57)/I57</f>
        <v>-4.9295101586235068</v>
      </c>
      <c r="M57" s="55" t="s">
        <v>1196</v>
      </c>
    </row>
    <row r="58" spans="1:13" x14ac:dyDescent="0.35">
      <c r="A58" s="78">
        <v>57</v>
      </c>
      <c r="B58" s="34">
        <v>6680.277</v>
      </c>
      <c r="C58" s="96">
        <f t="shared" si="6"/>
        <v>6350.8239135977965</v>
      </c>
      <c r="D58" s="77">
        <f t="shared" si="7"/>
        <v>51.729325365283458</v>
      </c>
      <c r="E58" s="96">
        <f t="shared" si="8"/>
        <v>6154.685861518351</v>
      </c>
      <c r="F58" s="96">
        <f t="shared" si="1"/>
        <v>-525.59113848164907</v>
      </c>
      <c r="G58" s="96">
        <f t="shared" si="5"/>
        <v>525.59113848164907</v>
      </c>
      <c r="H58" s="96">
        <f>SUMSQ($G$3:G58)/A58</f>
        <v>162883.76092730957</v>
      </c>
      <c r="I58" s="96">
        <f>SUM($G$3:G58)/A58</f>
        <v>306.1460773418342</v>
      </c>
      <c r="J58" s="96">
        <f t="shared" si="2"/>
        <v>7.8678045608235863</v>
      </c>
      <c r="K58" s="96">
        <f>AVERAGE($J$3:J58)</f>
        <v>8.2081132686284786</v>
      </c>
      <c r="L58" s="77">
        <f>SUM($F$3:F58)/I58</f>
        <v>-6.5832110967385322</v>
      </c>
      <c r="M58" s="54" t="s">
        <v>1197</v>
      </c>
    </row>
    <row r="59" spans="1:13" x14ac:dyDescent="0.35">
      <c r="A59" s="79">
        <v>58</v>
      </c>
      <c r="B59" s="50">
        <v>4965.5910000000003</v>
      </c>
      <c r="C59" s="96">
        <f t="shared" si="6"/>
        <v>5866.3132725204623</v>
      </c>
      <c r="D59" s="77">
        <f t="shared" si="7"/>
        <v>51.729325365283458</v>
      </c>
      <c r="E59" s="96">
        <f t="shared" si="8"/>
        <v>6402.5532389630798</v>
      </c>
      <c r="F59" s="96">
        <f t="shared" si="1"/>
        <v>1436.9622389630795</v>
      </c>
      <c r="G59" s="96">
        <f t="shared" si="5"/>
        <v>1436.9622389630795</v>
      </c>
      <c r="H59" s="96">
        <f>SUMSQ($G$3:G59)/A59</f>
        <v>195676.46291486951</v>
      </c>
      <c r="I59" s="96">
        <f>SUM($G$3:G59)/A59</f>
        <v>325.6429077146143</v>
      </c>
      <c r="J59" s="96">
        <f t="shared" si="2"/>
        <v>28.938393012293588</v>
      </c>
      <c r="K59" s="96">
        <f>AVERAGE($J$3:J59)</f>
        <v>8.5718023869383941</v>
      </c>
      <c r="L59" s="77">
        <f>SUM($F$3:F59)/I59</f>
        <v>-1.776369148268405</v>
      </c>
      <c r="M59" s="55" t="s">
        <v>1197</v>
      </c>
    </row>
    <row r="60" spans="1:13" x14ac:dyDescent="0.35">
      <c r="A60" s="78">
        <v>59</v>
      </c>
      <c r="B60" s="34">
        <v>5070.607</v>
      </c>
      <c r="C60" s="96">
        <f t="shared" si="6"/>
        <v>5601.7998851332868</v>
      </c>
      <c r="D60" s="77">
        <f t="shared" si="7"/>
        <v>51.729325365283458</v>
      </c>
      <c r="E60" s="96">
        <f t="shared" si="8"/>
        <v>5918.0425978857456</v>
      </c>
      <c r="F60" s="96">
        <f t="shared" si="1"/>
        <v>847.43559788574566</v>
      </c>
      <c r="G60" s="96">
        <f t="shared" si="5"/>
        <v>847.43559788574566</v>
      </c>
      <c r="H60" s="97">
        <f>SUMSQ($G$3:G60)/A60</f>
        <v>204531.89731570176</v>
      </c>
      <c r="I60" s="96">
        <f>SUM($G$3:G60)/A60</f>
        <v>334.48685161581989</v>
      </c>
      <c r="J60" s="96">
        <f t="shared" si="2"/>
        <v>16.712705163025763</v>
      </c>
      <c r="K60" s="96">
        <f>AVERAGE($J$3:J60)</f>
        <v>8.7121627796295549</v>
      </c>
      <c r="L60" s="77">
        <f>SUM($F$3:F60)/I60</f>
        <v>0.80413798620109367</v>
      </c>
      <c r="M60" s="54" t="s">
        <v>1197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9554-A09C-492B-8D8C-519240AB5118}">
  <dimension ref="A1:I19"/>
  <sheetViews>
    <sheetView workbookViewId="0">
      <selection activeCell="A16" sqref="A16:B19"/>
    </sheetView>
  </sheetViews>
  <sheetFormatPr baseColWidth="10" defaultRowHeight="14.5" x14ac:dyDescent="0.35"/>
  <sheetData>
    <row r="1" spans="1:9" x14ac:dyDescent="0.35">
      <c r="A1" t="s">
        <v>1206</v>
      </c>
    </row>
    <row r="2" spans="1:9" ht="15" thickBot="1" x14ac:dyDescent="0.4"/>
    <row r="3" spans="1:9" x14ac:dyDescent="0.35">
      <c r="A3" s="59" t="s">
        <v>1207</v>
      </c>
      <c r="B3" s="59"/>
    </row>
    <row r="4" spans="1:9" x14ac:dyDescent="0.35">
      <c r="A4" t="s">
        <v>1208</v>
      </c>
      <c r="B4">
        <v>0.9096854408040842</v>
      </c>
    </row>
    <row r="5" spans="1:9" x14ac:dyDescent="0.35">
      <c r="A5" t="s">
        <v>1209</v>
      </c>
      <c r="B5">
        <v>0.82752760121092095</v>
      </c>
    </row>
    <row r="6" spans="1:9" x14ac:dyDescent="0.35">
      <c r="A6" t="s">
        <v>1210</v>
      </c>
      <c r="B6">
        <v>0.82136787268273959</v>
      </c>
    </row>
    <row r="7" spans="1:9" x14ac:dyDescent="0.35">
      <c r="A7" t="s">
        <v>1211</v>
      </c>
      <c r="B7">
        <v>429.96314126504251</v>
      </c>
    </row>
    <row r="8" spans="1:9" ht="15" thickBot="1" x14ac:dyDescent="0.4">
      <c r="A8" s="57" t="s">
        <v>1212</v>
      </c>
      <c r="B8" s="57">
        <v>59</v>
      </c>
    </row>
    <row r="10" spans="1:9" ht="15" thickBot="1" x14ac:dyDescent="0.4">
      <c r="A10" t="s">
        <v>1213</v>
      </c>
    </row>
    <row r="11" spans="1:9" x14ac:dyDescent="0.35">
      <c r="A11" s="58"/>
      <c r="B11" s="58" t="s">
        <v>1217</v>
      </c>
      <c r="C11" s="58" t="s">
        <v>1218</v>
      </c>
      <c r="D11" s="58" t="s">
        <v>1219</v>
      </c>
      <c r="E11" s="58" t="s">
        <v>1220</v>
      </c>
      <c r="F11" s="58" t="s">
        <v>1221</v>
      </c>
    </row>
    <row r="12" spans="1:9" x14ac:dyDescent="0.35">
      <c r="A12" t="s">
        <v>1214</v>
      </c>
      <c r="B12">
        <v>2</v>
      </c>
      <c r="C12">
        <v>49672196.589373946</v>
      </c>
      <c r="D12">
        <v>24836098.294686973</v>
      </c>
      <c r="E12">
        <v>134.34481689004582</v>
      </c>
      <c r="F12">
        <v>4.247651748810105E-22</v>
      </c>
    </row>
    <row r="13" spans="1:9" x14ac:dyDescent="0.35">
      <c r="A13" t="s">
        <v>1215</v>
      </c>
      <c r="B13">
        <v>56</v>
      </c>
      <c r="C13">
        <v>10352624.959404163</v>
      </c>
      <c r="D13">
        <v>184868.30284650292</v>
      </c>
    </row>
    <row r="14" spans="1:9" ht="15" thickBot="1" x14ac:dyDescent="0.4">
      <c r="A14" s="57" t="s">
        <v>1181</v>
      </c>
      <c r="B14" s="57">
        <v>58</v>
      </c>
      <c r="C14" s="57">
        <v>60024821.548778109</v>
      </c>
      <c r="D14" s="57"/>
      <c r="E14" s="57"/>
      <c r="F14" s="57"/>
    </row>
    <row r="15" spans="1:9" ht="15" thickBot="1" x14ac:dyDescent="0.4"/>
    <row r="16" spans="1:9" x14ac:dyDescent="0.35">
      <c r="A16" s="58"/>
      <c r="B16" s="58" t="s">
        <v>1222</v>
      </c>
      <c r="C16" s="58" t="s">
        <v>1211</v>
      </c>
      <c r="D16" s="58" t="s">
        <v>1223</v>
      </c>
      <c r="E16" s="58" t="s">
        <v>1224</v>
      </c>
      <c r="F16" s="58" t="s">
        <v>1225</v>
      </c>
      <c r="G16" s="58" t="s">
        <v>1226</v>
      </c>
      <c r="H16" s="58" t="s">
        <v>1227</v>
      </c>
      <c r="I16" s="58" t="s">
        <v>1228</v>
      </c>
    </row>
    <row r="17" spans="1:9" x14ac:dyDescent="0.35">
      <c r="A17" t="s">
        <v>1216</v>
      </c>
      <c r="B17">
        <v>3305.7719465378814</v>
      </c>
      <c r="C17">
        <v>173.7871145765186</v>
      </c>
      <c r="D17">
        <v>19.02196232783615</v>
      </c>
      <c r="E17">
        <v>4.1412490665748246E-26</v>
      </c>
      <c r="F17">
        <v>2957.6345222071186</v>
      </c>
      <c r="G17">
        <v>3653.9093708686441</v>
      </c>
      <c r="H17">
        <v>2957.6345222071186</v>
      </c>
      <c r="I17">
        <v>3653.9093708686441</v>
      </c>
    </row>
    <row r="18" spans="1:9" x14ac:dyDescent="0.35">
      <c r="A18" t="s">
        <v>1088</v>
      </c>
      <c r="B18">
        <v>-7.6705191620075999</v>
      </c>
      <c r="C18">
        <v>13.364444847732997</v>
      </c>
      <c r="D18">
        <v>-0.57394970381495081</v>
      </c>
      <c r="E18">
        <v>0.56830004357219444</v>
      </c>
      <c r="F18">
        <v>-34.442719265782998</v>
      </c>
      <c r="G18">
        <v>19.101680941767796</v>
      </c>
      <c r="H18">
        <v>-34.442719265782998</v>
      </c>
      <c r="I18">
        <v>19.101680941767796</v>
      </c>
    </row>
    <row r="19" spans="1:9" ht="15" thickBot="1" x14ac:dyDescent="0.4">
      <c r="A19" s="57" t="s">
        <v>1293</v>
      </c>
      <c r="B19" s="57">
        <v>0.98999740878818443</v>
      </c>
      <c r="C19" s="57">
        <v>0.21589844111927475</v>
      </c>
      <c r="D19" s="57">
        <v>4.5854773367319162</v>
      </c>
      <c r="E19" s="57">
        <v>2.5885781046627029E-5</v>
      </c>
      <c r="F19" s="57">
        <v>0.55750086040227331</v>
      </c>
      <c r="G19" s="57">
        <v>1.4224939571740955</v>
      </c>
      <c r="H19" s="57">
        <v>0.55750086040227331</v>
      </c>
      <c r="I19" s="57">
        <v>1.4224939571740955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CB25-E193-48D4-9BD2-587FDB9B158B}">
  <dimension ref="A1:I20"/>
  <sheetViews>
    <sheetView workbookViewId="0">
      <selection activeCell="A16" sqref="A16:B20"/>
    </sheetView>
  </sheetViews>
  <sheetFormatPr baseColWidth="10" defaultRowHeight="14.5" x14ac:dyDescent="0.35"/>
  <sheetData>
    <row r="1" spans="1:9" x14ac:dyDescent="0.35">
      <c r="A1" t="s">
        <v>1206</v>
      </c>
    </row>
    <row r="2" spans="1:9" ht="15" thickBot="1" x14ac:dyDescent="0.4"/>
    <row r="3" spans="1:9" x14ac:dyDescent="0.35">
      <c r="A3" s="59" t="s">
        <v>1207</v>
      </c>
      <c r="B3" s="59"/>
    </row>
    <row r="4" spans="1:9" x14ac:dyDescent="0.35">
      <c r="A4" t="s">
        <v>1208</v>
      </c>
      <c r="B4">
        <v>0.92035694381705535</v>
      </c>
    </row>
    <row r="5" spans="1:9" x14ac:dyDescent="0.35">
      <c r="A5" t="s">
        <v>1209</v>
      </c>
      <c r="B5">
        <v>0.84705690403227041</v>
      </c>
    </row>
    <row r="6" spans="1:9" x14ac:dyDescent="0.35">
      <c r="A6" t="s">
        <v>1210</v>
      </c>
      <c r="B6">
        <v>0.8387145533431215</v>
      </c>
    </row>
    <row r="7" spans="1:9" x14ac:dyDescent="0.35">
      <c r="A7" t="s">
        <v>1211</v>
      </c>
      <c r="B7">
        <v>408.55359151258159</v>
      </c>
    </row>
    <row r="8" spans="1:9" ht="15" thickBot="1" x14ac:dyDescent="0.4">
      <c r="A8" s="57" t="s">
        <v>1212</v>
      </c>
      <c r="B8" s="57">
        <v>59</v>
      </c>
    </row>
    <row r="10" spans="1:9" ht="15" thickBot="1" x14ac:dyDescent="0.4">
      <c r="A10" t="s">
        <v>1213</v>
      </c>
    </row>
    <row r="11" spans="1:9" x14ac:dyDescent="0.35">
      <c r="A11" s="58"/>
      <c r="B11" s="58" t="s">
        <v>1217</v>
      </c>
      <c r="C11" s="58" t="s">
        <v>1218</v>
      </c>
      <c r="D11" s="58" t="s">
        <v>1219</v>
      </c>
      <c r="E11" s="58" t="s">
        <v>1220</v>
      </c>
      <c r="F11" s="58" t="s">
        <v>1221</v>
      </c>
    </row>
    <row r="12" spans="1:9" x14ac:dyDescent="0.35">
      <c r="A12" t="s">
        <v>1214</v>
      </c>
      <c r="B12">
        <v>3</v>
      </c>
      <c r="C12">
        <v>50844439.506197497</v>
      </c>
      <c r="D12">
        <v>16948146.502065834</v>
      </c>
      <c r="E12">
        <v>101.53695709940116</v>
      </c>
      <c r="F12">
        <v>2.0790746252768993E-22</v>
      </c>
    </row>
    <row r="13" spans="1:9" x14ac:dyDescent="0.35">
      <c r="A13" t="s">
        <v>1215</v>
      </c>
      <c r="B13">
        <v>55</v>
      </c>
      <c r="C13">
        <v>9180382.0425806157</v>
      </c>
      <c r="D13">
        <v>166916.03713782938</v>
      </c>
    </row>
    <row r="14" spans="1:9" ht="15" thickBot="1" x14ac:dyDescent="0.4">
      <c r="A14" s="57" t="s">
        <v>1181</v>
      </c>
      <c r="B14" s="57">
        <v>58</v>
      </c>
      <c r="C14" s="57">
        <v>60024821.548778117</v>
      </c>
      <c r="D14" s="57"/>
      <c r="E14" s="57"/>
      <c r="F14" s="57"/>
    </row>
    <row r="15" spans="1:9" ht="15" thickBot="1" x14ac:dyDescent="0.4"/>
    <row r="16" spans="1:9" x14ac:dyDescent="0.35">
      <c r="A16" s="58"/>
      <c r="B16" s="58" t="s">
        <v>1222</v>
      </c>
      <c r="C16" s="58" t="s">
        <v>1211</v>
      </c>
      <c r="D16" s="58" t="s">
        <v>1223</v>
      </c>
      <c r="E16" s="58" t="s">
        <v>1224</v>
      </c>
      <c r="F16" s="58" t="s">
        <v>1225</v>
      </c>
      <c r="G16" s="58" t="s">
        <v>1226</v>
      </c>
      <c r="H16" s="58" t="s">
        <v>1227</v>
      </c>
      <c r="I16" s="58" t="s">
        <v>1228</v>
      </c>
    </row>
    <row r="17" spans="1:9" x14ac:dyDescent="0.35">
      <c r="A17" t="s">
        <v>1216</v>
      </c>
      <c r="B17">
        <v>3718.6509255590731</v>
      </c>
      <c r="C17">
        <v>227.02915832109932</v>
      </c>
      <c r="D17">
        <v>16.379618164727496</v>
      </c>
      <c r="E17">
        <v>8.219517854594054E-23</v>
      </c>
      <c r="F17">
        <v>3263.6743251711487</v>
      </c>
      <c r="G17">
        <v>4173.6275259469976</v>
      </c>
      <c r="H17">
        <v>3263.6743251711487</v>
      </c>
      <c r="I17">
        <v>4173.6275259469976</v>
      </c>
    </row>
    <row r="18" spans="1:9" x14ac:dyDescent="0.35">
      <c r="A18" t="s">
        <v>1088</v>
      </c>
      <c r="B18">
        <v>-86.934840694174241</v>
      </c>
      <c r="C18">
        <v>32.494284543301418</v>
      </c>
      <c r="D18">
        <v>-2.6753886696082234</v>
      </c>
      <c r="E18">
        <v>9.8130606028647305E-3</v>
      </c>
      <c r="F18">
        <v>-152.05484211989057</v>
      </c>
      <c r="G18">
        <v>-21.814839268457916</v>
      </c>
      <c r="H18">
        <v>-152.05484211989057</v>
      </c>
      <c r="I18">
        <v>-21.814839268457916</v>
      </c>
    </row>
    <row r="19" spans="1:9" x14ac:dyDescent="0.35">
      <c r="A19" t="s">
        <v>1293</v>
      </c>
      <c r="B19">
        <v>4.2650818536945305</v>
      </c>
      <c r="C19">
        <v>1.2527528002607879</v>
      </c>
      <c r="D19">
        <v>3.4045678068383962</v>
      </c>
      <c r="E19">
        <v>1.2436098718702408E-3</v>
      </c>
      <c r="F19">
        <v>1.7545091395810295</v>
      </c>
      <c r="G19">
        <v>6.7756545678080311</v>
      </c>
      <c r="H19">
        <v>1.7545091395810295</v>
      </c>
      <c r="I19">
        <v>6.7756545678080311</v>
      </c>
    </row>
    <row r="20" spans="1:9" ht="15" thickBot="1" x14ac:dyDescent="0.4">
      <c r="A20" s="57" t="s">
        <v>1296</v>
      </c>
      <c r="B20" s="57">
        <v>-3.6389827165626075E-2</v>
      </c>
      <c r="C20" s="57">
        <v>1.3731570688168328E-2</v>
      </c>
      <c r="D20" s="57">
        <v>-2.6500848294784665</v>
      </c>
      <c r="E20" s="57">
        <v>1.0487165405053239E-2</v>
      </c>
      <c r="F20" s="57">
        <v>-6.3908509769615957E-2</v>
      </c>
      <c r="G20" s="57">
        <v>-8.8711445616361968E-3</v>
      </c>
      <c r="H20" s="57">
        <v>-6.3908509769615957E-2</v>
      </c>
      <c r="I20" s="57">
        <v>-8.8711445616361968E-3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7759-6707-4F9E-91D3-5B395A4BE526}">
  <dimension ref="A1:S60"/>
  <sheetViews>
    <sheetView workbookViewId="0">
      <selection activeCell="N7" sqref="N7"/>
    </sheetView>
  </sheetViews>
  <sheetFormatPr baseColWidth="10" defaultRowHeight="14.5" x14ac:dyDescent="0.35"/>
  <cols>
    <col min="3" max="3" width="13.36328125" customWidth="1"/>
    <col min="6" max="6" width="12.26953125" customWidth="1"/>
    <col min="7" max="7" width="15.81640625" customWidth="1"/>
    <col min="14" max="14" width="21.7265625" customWidth="1"/>
  </cols>
  <sheetData>
    <row r="1" spans="1:19" ht="29" x14ac:dyDescent="0.35">
      <c r="A1" s="122" t="s">
        <v>1088</v>
      </c>
      <c r="B1" s="122" t="s">
        <v>1292</v>
      </c>
      <c r="C1" s="122" t="s">
        <v>1290</v>
      </c>
      <c r="D1" s="122" t="s">
        <v>1291</v>
      </c>
      <c r="E1" s="122" t="s">
        <v>1264</v>
      </c>
      <c r="F1" s="123" t="s">
        <v>1265</v>
      </c>
      <c r="G1" s="123" t="s">
        <v>1266</v>
      </c>
      <c r="H1" s="122" t="s">
        <v>1253</v>
      </c>
      <c r="I1" s="122" t="s">
        <v>1254</v>
      </c>
      <c r="J1" s="122" t="s">
        <v>1267</v>
      </c>
      <c r="K1" s="122" t="s">
        <v>1256</v>
      </c>
      <c r="L1" s="122" t="s">
        <v>1271</v>
      </c>
      <c r="O1" s="58"/>
      <c r="P1" s="58" t="s">
        <v>1222</v>
      </c>
    </row>
    <row r="2" spans="1:19" x14ac:dyDescent="0.35">
      <c r="A2" s="78">
        <v>1</v>
      </c>
      <c r="B2" s="78">
        <f>POWER(A2,2)</f>
        <v>1</v>
      </c>
      <c r="C2" s="34">
        <v>3223.5839999999998</v>
      </c>
      <c r="D2" s="91">
        <f>($P$4*POWER(A2,2))+($P$3*A2)+$P$2</f>
        <v>3299.0914247846617</v>
      </c>
      <c r="E2" s="91">
        <f>D2-C2</f>
        <v>75.507424784661907</v>
      </c>
      <c r="F2" s="91">
        <f>ABS(E2)</f>
        <v>75.507424784661907</v>
      </c>
      <c r="G2" s="91">
        <f>SUMSQ($F2:F2)/A2</f>
        <v>5701.3711976113755</v>
      </c>
      <c r="H2" s="91">
        <f>SUM($F2:F2)/A2</f>
        <v>75.507424784661907</v>
      </c>
      <c r="I2" s="121">
        <f>(F2/C2)*100</f>
        <v>2.3423439496120442</v>
      </c>
      <c r="J2" s="121">
        <f>AVERAGE($I$2:I2)</f>
        <v>2.3423439496120442</v>
      </c>
      <c r="K2" s="121">
        <f>SUM($E$2:E2)/H2</f>
        <v>1</v>
      </c>
      <c r="L2" s="54" t="s">
        <v>3</v>
      </c>
      <c r="O2" t="s">
        <v>1216</v>
      </c>
      <c r="P2">
        <v>3305.7719465378814</v>
      </c>
    </row>
    <row r="3" spans="1:19" x14ac:dyDescent="0.35">
      <c r="A3" s="79">
        <v>2</v>
      </c>
      <c r="B3" s="79">
        <f t="shared" ref="B3:B60" si="0">POWER(A3,2)</f>
        <v>4</v>
      </c>
      <c r="C3" s="50">
        <v>3472.9369999999999</v>
      </c>
      <c r="D3" s="91">
        <f t="shared" ref="D3:D33" si="1">($P$4*POWER(A3,2))+($P$3*A3)+$P$2</f>
        <v>3294.390897849019</v>
      </c>
      <c r="E3" s="91">
        <f t="shared" ref="E3:E60" si="2">D3-C3</f>
        <v>-178.54610215098091</v>
      </c>
      <c r="F3" s="91">
        <f t="shared" ref="F3:F60" si="3">ABS(E3)</f>
        <v>178.54610215098091</v>
      </c>
      <c r="G3" s="91">
        <f>SUMSQ($F3:F3)/A3</f>
        <v>15939.355296654256</v>
      </c>
      <c r="H3" s="91">
        <f>SUM($F3:F3)/A3</f>
        <v>89.273051075490457</v>
      </c>
      <c r="I3" s="121">
        <f t="shared" ref="I3:I60" si="4">(F3/C3)*100</f>
        <v>5.1410694219613227</v>
      </c>
      <c r="J3" s="121">
        <f>AVERAGE($I$2:I3)</f>
        <v>3.7417066857866832</v>
      </c>
      <c r="K3" s="121">
        <f>SUM($E$2:E3)/H3</f>
        <v>-1.1541968838859127</v>
      </c>
      <c r="L3" s="55" t="s">
        <v>4</v>
      </c>
      <c r="O3" t="s">
        <v>1088</v>
      </c>
      <c r="P3">
        <v>-7.6705191620075999</v>
      </c>
    </row>
    <row r="4" spans="1:19" ht="15" thickBot="1" x14ac:dyDescent="0.4">
      <c r="A4" s="78">
        <v>3</v>
      </c>
      <c r="B4" s="78">
        <f t="shared" si="0"/>
        <v>9</v>
      </c>
      <c r="C4" s="34">
        <v>3369.4650000000001</v>
      </c>
      <c r="D4" s="91">
        <f t="shared" si="1"/>
        <v>3291.6703657309522</v>
      </c>
      <c r="E4" s="91">
        <f t="shared" si="2"/>
        <v>-77.794634269047947</v>
      </c>
      <c r="F4" s="91">
        <f t="shared" si="3"/>
        <v>77.794634269047947</v>
      </c>
      <c r="G4" s="91">
        <f>SUMSQ($F4:F4)/A4</f>
        <v>2017.3350403516431</v>
      </c>
      <c r="H4" s="91">
        <f>SUM($F4:F4)/A4</f>
        <v>25.931544756349314</v>
      </c>
      <c r="I4" s="121">
        <f t="shared" si="4"/>
        <v>2.3088126533158215</v>
      </c>
      <c r="J4" s="121">
        <f>AVERAGE($I$2:I4)</f>
        <v>3.2640753416297295</v>
      </c>
      <c r="K4" s="121">
        <f>SUM($E$2:E4)/H4</f>
        <v>-6.9734878247502046</v>
      </c>
      <c r="L4" s="54" t="s">
        <v>5</v>
      </c>
      <c r="O4" s="57" t="s">
        <v>1293</v>
      </c>
      <c r="P4" s="57">
        <v>0.98999740878818443</v>
      </c>
    </row>
    <row r="5" spans="1:19" x14ac:dyDescent="0.35">
      <c r="A5" s="79">
        <v>4</v>
      </c>
      <c r="B5" s="79">
        <f t="shared" si="0"/>
        <v>16</v>
      </c>
      <c r="C5" s="50">
        <v>3601.0940000000001</v>
      </c>
      <c r="D5" s="91">
        <f t="shared" si="1"/>
        <v>3290.9298284304618</v>
      </c>
      <c r="E5" s="91">
        <f t="shared" si="2"/>
        <v>-310.16417156953821</v>
      </c>
      <c r="F5" s="91">
        <f t="shared" si="3"/>
        <v>310.16417156953821</v>
      </c>
      <c r="G5" s="91">
        <f>SUMSQ($F5:F5)/A5</f>
        <v>24050.453331354485</v>
      </c>
      <c r="H5" s="91">
        <f>SUM($F5:F5)/A5</f>
        <v>77.541042892384553</v>
      </c>
      <c r="I5" s="121">
        <f t="shared" si="4"/>
        <v>8.61305402107077</v>
      </c>
      <c r="J5" s="121">
        <f>AVERAGE($I$2:I5)</f>
        <v>4.6013200114899897</v>
      </c>
      <c r="K5" s="121">
        <f>SUM($E$2:E5)/H5</f>
        <v>-6.3320980075846638</v>
      </c>
      <c r="L5" s="55" t="s">
        <v>6</v>
      </c>
    </row>
    <row r="6" spans="1:19" x14ac:dyDescent="0.35">
      <c r="A6" s="78">
        <v>5</v>
      </c>
      <c r="B6" s="78">
        <f t="shared" si="0"/>
        <v>25</v>
      </c>
      <c r="C6" s="34">
        <v>3627.9300000000003</v>
      </c>
      <c r="D6" s="91">
        <f t="shared" si="1"/>
        <v>3292.1692859475479</v>
      </c>
      <c r="E6" s="91">
        <f t="shared" si="2"/>
        <v>-335.76071405245239</v>
      </c>
      <c r="F6" s="91">
        <f t="shared" si="3"/>
        <v>335.76071405245239</v>
      </c>
      <c r="G6" s="91">
        <f>SUMSQ($F6:F6)/A6</f>
        <v>22547.051420202541</v>
      </c>
      <c r="H6" s="91">
        <f>SUM($F6:F6)/A6</f>
        <v>67.152142810490474</v>
      </c>
      <c r="I6" s="121">
        <f t="shared" si="4"/>
        <v>9.2548840262202514</v>
      </c>
      <c r="J6" s="121">
        <f>AVERAGE($I$2:I6)</f>
        <v>5.5320328144360413</v>
      </c>
      <c r="K6" s="121">
        <f>SUM($E$2:E6)/H6</f>
        <v>-12.311717283401443</v>
      </c>
      <c r="L6" s="54" t="s">
        <v>7</v>
      </c>
      <c r="N6" s="66" t="s">
        <v>1257</v>
      </c>
      <c r="O6" s="66" t="s">
        <v>1253</v>
      </c>
      <c r="P6" s="66" t="s">
        <v>1258</v>
      </c>
      <c r="Q6" s="66" t="s">
        <v>1259</v>
      </c>
      <c r="R6" s="66" t="s">
        <v>1260</v>
      </c>
      <c r="S6" s="66" t="s">
        <v>1261</v>
      </c>
    </row>
    <row r="7" spans="1:19" x14ac:dyDescent="0.35">
      <c r="A7" s="79">
        <v>6</v>
      </c>
      <c r="B7" s="79">
        <f t="shared" si="0"/>
        <v>36</v>
      </c>
      <c r="C7" s="50">
        <v>3789.5219999999999</v>
      </c>
      <c r="D7" s="91">
        <f t="shared" si="1"/>
        <v>3295.3887382822104</v>
      </c>
      <c r="E7" s="91">
        <f t="shared" si="2"/>
        <v>-494.13326171778954</v>
      </c>
      <c r="F7" s="91">
        <f t="shared" si="3"/>
        <v>494.13326171778954</v>
      </c>
      <c r="G7" s="91">
        <f>SUMSQ($F7:F7)/A7</f>
        <v>40694.613389310245</v>
      </c>
      <c r="H7" s="91">
        <f>SUM($F7:F7)/A7</f>
        <v>82.35554361963159</v>
      </c>
      <c r="I7" s="121">
        <f t="shared" si="4"/>
        <v>13.039461486641047</v>
      </c>
      <c r="J7" s="121">
        <f>AVERAGE($I$2:I7)</f>
        <v>6.7832709264702089</v>
      </c>
      <c r="K7" s="121">
        <f>SUM($E$2:E7)/H7</f>
        <v>-16.038889441077991</v>
      </c>
      <c r="L7" s="55" t="s">
        <v>8</v>
      </c>
      <c r="N7" s="66" t="s">
        <v>1299</v>
      </c>
      <c r="O7" s="91">
        <f>H60</f>
        <v>20.826869423239042</v>
      </c>
      <c r="P7" s="91">
        <f>J60</f>
        <v>7.9403764208860741</v>
      </c>
      <c r="Q7" s="133">
        <f>MIN(K2:K60)</f>
        <v>-521.76898812789091</v>
      </c>
      <c r="R7" s="134">
        <f>MAX(K2:K60)</f>
        <v>2920.7361495895339</v>
      </c>
      <c r="S7" s="93">
        <f>1.25*O7</f>
        <v>26.033586779048804</v>
      </c>
    </row>
    <row r="8" spans="1:19" x14ac:dyDescent="0.35">
      <c r="A8" s="78">
        <v>7</v>
      </c>
      <c r="B8" s="78">
        <f t="shared" si="0"/>
        <v>49</v>
      </c>
      <c r="C8" s="34">
        <v>3793.3879999999999</v>
      </c>
      <c r="D8" s="91">
        <f t="shared" si="1"/>
        <v>3300.5881854344493</v>
      </c>
      <c r="E8" s="91">
        <f t="shared" si="2"/>
        <v>-492.79981456555061</v>
      </c>
      <c r="F8" s="91">
        <f t="shared" si="3"/>
        <v>492.79981456555061</v>
      </c>
      <c r="G8" s="91">
        <f>SUMSQ($F8:F8)/A8</f>
        <v>34693.09389083444</v>
      </c>
      <c r="H8" s="91">
        <f>SUM($F8:F8)/A8</f>
        <v>70.399973509364372</v>
      </c>
      <c r="I8" s="121">
        <f t="shared" si="4"/>
        <v>12.991020548532092</v>
      </c>
      <c r="J8" s="121">
        <f>AVERAGE($I$2:I8)</f>
        <v>7.6700923010504782</v>
      </c>
      <c r="K8" s="121">
        <f>SUM($E$2:E8)/H8</f>
        <v>-25.762669829690299</v>
      </c>
      <c r="L8" s="54" t="s">
        <v>9</v>
      </c>
    </row>
    <row r="9" spans="1:19" x14ac:dyDescent="0.35">
      <c r="A9" s="79">
        <v>8</v>
      </c>
      <c r="B9" s="79">
        <f t="shared" si="0"/>
        <v>64</v>
      </c>
      <c r="C9" s="50">
        <v>3092.6509999999998</v>
      </c>
      <c r="D9" s="91">
        <f t="shared" si="1"/>
        <v>3307.7676274042642</v>
      </c>
      <c r="E9" s="91">
        <f t="shared" si="2"/>
        <v>215.11662740426436</v>
      </c>
      <c r="F9" s="91">
        <f t="shared" si="3"/>
        <v>215.11662740426436</v>
      </c>
      <c r="G9" s="91">
        <f>SUMSQ($F9:F9)/A9</f>
        <v>5784.3954232231381</v>
      </c>
      <c r="H9" s="91">
        <f>SUM($F9:F9)/A9</f>
        <v>26.889578425533045</v>
      </c>
      <c r="I9" s="121">
        <f t="shared" si="4"/>
        <v>6.9557356263045644</v>
      </c>
      <c r="J9" s="121">
        <f>AVERAGE($I$2:I9)</f>
        <v>7.5807977167072389</v>
      </c>
      <c r="K9" s="121">
        <f>SUM($E$2:E9)/H9</f>
        <v>-59.449598682384099</v>
      </c>
      <c r="L9" s="55" t="s">
        <v>10</v>
      </c>
    </row>
    <row r="10" spans="1:19" x14ac:dyDescent="0.35">
      <c r="A10" s="78">
        <v>9</v>
      </c>
      <c r="B10" s="78">
        <f t="shared" si="0"/>
        <v>81</v>
      </c>
      <c r="C10" s="34">
        <v>3167.471</v>
      </c>
      <c r="D10" s="91">
        <f t="shared" si="1"/>
        <v>3316.927064191656</v>
      </c>
      <c r="E10" s="91">
        <f t="shared" si="2"/>
        <v>149.45606419165597</v>
      </c>
      <c r="F10" s="91">
        <f t="shared" si="3"/>
        <v>149.45606419165597</v>
      </c>
      <c r="G10" s="91">
        <f>SUMSQ($F10:F10)/A10</f>
        <v>2481.9016804067101</v>
      </c>
      <c r="H10" s="91">
        <f>SUM($F10:F10)/A10</f>
        <v>16.606229354628439</v>
      </c>
      <c r="I10" s="121">
        <f t="shared" si="4"/>
        <v>4.7184666944592699</v>
      </c>
      <c r="J10" s="121">
        <f>AVERAGE($I$2:I10)</f>
        <v>7.2627609364574646</v>
      </c>
      <c r="K10" s="121">
        <f>SUM($E$2:E10)/H10</f>
        <v>-87.263553393045441</v>
      </c>
      <c r="L10" s="54" t="s">
        <v>11</v>
      </c>
    </row>
    <row r="11" spans="1:19" x14ac:dyDescent="0.35">
      <c r="A11" s="79">
        <v>10</v>
      </c>
      <c r="B11" s="79">
        <f t="shared" si="0"/>
        <v>100</v>
      </c>
      <c r="C11" s="50">
        <v>3291.1210000000001</v>
      </c>
      <c r="D11" s="91">
        <f t="shared" si="1"/>
        <v>3328.0664957966237</v>
      </c>
      <c r="E11" s="91">
        <f t="shared" si="2"/>
        <v>36.945495796623618</v>
      </c>
      <c r="F11" s="91">
        <f t="shared" si="3"/>
        <v>36.945495796623618</v>
      </c>
      <c r="G11" s="91">
        <f>SUMSQ($F11:F11)/A11</f>
        <v>136.49696596583334</v>
      </c>
      <c r="H11" s="91">
        <f>SUM($F11:F11)/A11</f>
        <v>3.694549579662362</v>
      </c>
      <c r="I11" s="121">
        <f t="shared" si="4"/>
        <v>1.1225809016630994</v>
      </c>
      <c r="J11" s="121">
        <f>AVERAGE($I$2:I11)</f>
        <v>6.6487429329780285</v>
      </c>
      <c r="K11" s="121">
        <f>SUM($E$2:E11)/H11</f>
        <v>-382.23146169747969</v>
      </c>
      <c r="L11" s="55" t="s">
        <v>12</v>
      </c>
    </row>
    <row r="12" spans="1:19" x14ac:dyDescent="0.35">
      <c r="A12" s="78">
        <v>11</v>
      </c>
      <c r="B12" s="78">
        <f t="shared" si="0"/>
        <v>121</v>
      </c>
      <c r="C12" s="34">
        <v>3312.029</v>
      </c>
      <c r="D12" s="91">
        <f t="shared" si="1"/>
        <v>3341.1859222191679</v>
      </c>
      <c r="E12" s="91">
        <f t="shared" si="2"/>
        <v>29.156922219167882</v>
      </c>
      <c r="F12" s="91">
        <f t="shared" si="3"/>
        <v>29.156922219167882</v>
      </c>
      <c r="G12" s="91">
        <f>SUMSQ($F12:F12)/A12</f>
        <v>77.284192117691433</v>
      </c>
      <c r="H12" s="91">
        <f>SUM($F12:F12)/A12</f>
        <v>2.6506292926516255</v>
      </c>
      <c r="I12" s="121">
        <f t="shared" si="4"/>
        <v>0.8803341462036679</v>
      </c>
      <c r="J12" s="121">
        <f>AVERAGE($I$2:I12)</f>
        <v>6.1243421341803588</v>
      </c>
      <c r="K12" s="121">
        <f>SUM($E$2:E12)/H12</f>
        <v>-521.76898812789091</v>
      </c>
      <c r="L12" s="54" t="s">
        <v>13</v>
      </c>
    </row>
    <row r="13" spans="1:19" x14ac:dyDescent="0.35">
      <c r="A13" s="79">
        <v>12</v>
      </c>
      <c r="B13" s="79">
        <f t="shared" si="0"/>
        <v>144</v>
      </c>
      <c r="C13" s="50">
        <v>2360.7350000000001</v>
      </c>
      <c r="D13" s="91">
        <f t="shared" si="1"/>
        <v>3356.2853434592889</v>
      </c>
      <c r="E13" s="91">
        <f t="shared" si="2"/>
        <v>995.5503434592888</v>
      </c>
      <c r="F13" s="91">
        <f t="shared" si="3"/>
        <v>995.5503434592888</v>
      </c>
      <c r="G13" s="91">
        <f>SUMSQ($F13:F13)/A13</f>
        <v>82593.373863492321</v>
      </c>
      <c r="H13" s="91">
        <f>SUM($F13:F13)/A13</f>
        <v>82.962528621607404</v>
      </c>
      <c r="I13" s="121">
        <f t="shared" si="4"/>
        <v>42.17120275928</v>
      </c>
      <c r="J13" s="121">
        <f>AVERAGE($I$2:I13)</f>
        <v>9.1282471862719969</v>
      </c>
      <c r="K13" s="121">
        <f>SUM($E$2:E13)/H13</f>
        <v>-4.6703713942583764</v>
      </c>
      <c r="L13" s="55" t="s">
        <v>14</v>
      </c>
    </row>
    <row r="14" spans="1:19" x14ac:dyDescent="0.35">
      <c r="A14" s="78">
        <v>13</v>
      </c>
      <c r="B14" s="78">
        <f t="shared" si="0"/>
        <v>169</v>
      </c>
      <c r="C14" s="34">
        <v>2895.9360000000001</v>
      </c>
      <c r="D14" s="91">
        <f t="shared" si="1"/>
        <v>3373.3647595169859</v>
      </c>
      <c r="E14" s="91">
        <f t="shared" si="2"/>
        <v>477.42875951698579</v>
      </c>
      <c r="F14" s="91">
        <f t="shared" si="3"/>
        <v>477.42875951698579</v>
      </c>
      <c r="G14" s="91">
        <f>SUMSQ($F14:F14)/A14</f>
        <v>17533.709262609835</v>
      </c>
      <c r="H14" s="91">
        <f>SUM($F14:F14)/A14</f>
        <v>36.725289193614294</v>
      </c>
      <c r="I14" s="121">
        <f t="shared" si="4"/>
        <v>16.486164042195192</v>
      </c>
      <c r="J14" s="121">
        <f>AVERAGE($I$2:I14)</f>
        <v>9.6942407905737795</v>
      </c>
      <c r="K14" s="121">
        <f>SUM($E$2:E14)/H14</f>
        <v>2.4496182609484056</v>
      </c>
      <c r="L14" s="54" t="s">
        <v>15</v>
      </c>
    </row>
    <row r="15" spans="1:19" x14ac:dyDescent="0.35">
      <c r="A15" s="79">
        <v>14</v>
      </c>
      <c r="B15" s="79">
        <f t="shared" si="0"/>
        <v>196</v>
      </c>
      <c r="C15" s="50">
        <v>3115.0299999999997</v>
      </c>
      <c r="D15" s="91">
        <f t="shared" si="1"/>
        <v>3392.4241703922589</v>
      </c>
      <c r="E15" s="91">
        <f t="shared" si="2"/>
        <v>277.39417039225918</v>
      </c>
      <c r="F15" s="91">
        <f t="shared" si="3"/>
        <v>277.39417039225918</v>
      </c>
      <c r="G15" s="91">
        <f>SUMSQ($F15:F15)/A15</f>
        <v>5496.2518405435521</v>
      </c>
      <c r="H15" s="91">
        <f>SUM($F15:F15)/A15</f>
        <v>19.813869313732798</v>
      </c>
      <c r="I15" s="121">
        <f t="shared" si="4"/>
        <v>8.90502404125351</v>
      </c>
      <c r="J15" s="121">
        <f>AVERAGE($I$2:I15)</f>
        <v>9.6378681656223328</v>
      </c>
      <c r="K15" s="121">
        <f>SUM($E$2:E15)/H15</f>
        <v>18.54040236274983</v>
      </c>
      <c r="L15" s="55" t="s">
        <v>16</v>
      </c>
    </row>
    <row r="16" spans="1:19" x14ac:dyDescent="0.35">
      <c r="A16" s="78">
        <v>15</v>
      </c>
      <c r="B16" s="78">
        <f t="shared" si="0"/>
        <v>225</v>
      </c>
      <c r="C16" s="34">
        <v>4035.8679999999999</v>
      </c>
      <c r="D16" s="91">
        <f t="shared" si="1"/>
        <v>3413.4635760851088</v>
      </c>
      <c r="E16" s="91">
        <f t="shared" si="2"/>
        <v>-622.40442391489114</v>
      </c>
      <c r="F16" s="91">
        <f t="shared" si="3"/>
        <v>622.40442391489114</v>
      </c>
      <c r="G16" s="91">
        <f>SUMSQ($F16:F16)/A16</f>
        <v>25825.817793921837</v>
      </c>
      <c r="H16" s="91">
        <f>SUM($F16:F16)/A16</f>
        <v>41.493628260992743</v>
      </c>
      <c r="I16" s="121">
        <f t="shared" si="4"/>
        <v>15.42182311004451</v>
      </c>
      <c r="J16" s="121">
        <f>AVERAGE($I$2:I16)</f>
        <v>10.023465161917143</v>
      </c>
      <c r="K16" s="121">
        <f>SUM($E$2:E16)/H16</f>
        <v>-6.1466621542736393</v>
      </c>
      <c r="L16" s="54" t="s">
        <v>17</v>
      </c>
    </row>
    <row r="17" spans="1:12" x14ac:dyDescent="0.35">
      <c r="A17" s="79">
        <v>16</v>
      </c>
      <c r="B17" s="79">
        <f t="shared" si="0"/>
        <v>256</v>
      </c>
      <c r="C17" s="50">
        <v>2831.4769999999999</v>
      </c>
      <c r="D17" s="91">
        <f t="shared" si="1"/>
        <v>3436.4829765955351</v>
      </c>
      <c r="E17" s="91">
        <f t="shared" si="2"/>
        <v>605.00597659553523</v>
      </c>
      <c r="F17" s="91">
        <f t="shared" si="3"/>
        <v>605.00597659553523</v>
      </c>
      <c r="G17" s="91">
        <f>SUMSQ($F17:F17)/A17</f>
        <v>22877.014482269831</v>
      </c>
      <c r="H17" s="91">
        <f>SUM($F17:F17)/A17</f>
        <v>37.812873537220952</v>
      </c>
      <c r="I17" s="121">
        <f t="shared" si="4"/>
        <v>21.367151369957632</v>
      </c>
      <c r="J17" s="121">
        <f>AVERAGE($I$2:I17)</f>
        <v>10.732445549919674</v>
      </c>
      <c r="K17" s="121">
        <f>SUM($E$2:E17)/H17</f>
        <v>9.2550136866935429</v>
      </c>
      <c r="L17" s="55" t="s">
        <v>18</v>
      </c>
    </row>
    <row r="18" spans="1:12" x14ac:dyDescent="0.35">
      <c r="A18" s="78">
        <v>17</v>
      </c>
      <c r="B18" s="78">
        <f t="shared" si="0"/>
        <v>289</v>
      </c>
      <c r="C18" s="34">
        <v>3900.4079999999999</v>
      </c>
      <c r="D18" s="91">
        <f t="shared" si="1"/>
        <v>3461.4823719235374</v>
      </c>
      <c r="E18" s="91">
        <f t="shared" si="2"/>
        <v>-438.92562807646254</v>
      </c>
      <c r="F18" s="91">
        <f t="shared" si="3"/>
        <v>438.92562807646254</v>
      </c>
      <c r="G18" s="91">
        <f>SUMSQ($F18:F18)/A18</f>
        <v>11332.688646018654</v>
      </c>
      <c r="H18" s="91">
        <f>SUM($F18:F18)/A18</f>
        <v>25.819154592733092</v>
      </c>
      <c r="I18" s="121">
        <f t="shared" si="4"/>
        <v>11.253326012982811</v>
      </c>
      <c r="J18" s="121">
        <f>AVERAGE($I$2:I18)</f>
        <v>10.763085577158684</v>
      </c>
      <c r="K18" s="121">
        <f>SUM($E$2:E18)/H18</f>
        <v>-3.4457737815052498</v>
      </c>
      <c r="L18" s="54" t="s">
        <v>19</v>
      </c>
    </row>
    <row r="19" spans="1:12" x14ac:dyDescent="0.35">
      <c r="A19" s="79">
        <v>18</v>
      </c>
      <c r="B19" s="79">
        <f t="shared" si="0"/>
        <v>324</v>
      </c>
      <c r="C19" s="50">
        <v>3016.83</v>
      </c>
      <c r="D19" s="91">
        <f t="shared" si="1"/>
        <v>3488.4617620691165</v>
      </c>
      <c r="E19" s="91">
        <f t="shared" si="2"/>
        <v>471.63176206911658</v>
      </c>
      <c r="F19" s="91">
        <f t="shared" si="3"/>
        <v>471.63176206911658</v>
      </c>
      <c r="G19" s="91">
        <f>SUMSQ($F19:F19)/A19</f>
        <v>12357.584388467767</v>
      </c>
      <c r="H19" s="91">
        <f>SUM($F19:F19)/A19</f>
        <v>26.201764559395365</v>
      </c>
      <c r="I19" s="121">
        <f t="shared" si="4"/>
        <v>15.633355610661409</v>
      </c>
      <c r="J19" s="121">
        <f>AVERAGE($I$2:I19)</f>
        <v>11.033656134575502</v>
      </c>
      <c r="K19" s="121">
        <f>SUM($E$2:E19)/H19</f>
        <v>14.604542959135591</v>
      </c>
      <c r="L19" s="55" t="s">
        <v>20</v>
      </c>
    </row>
    <row r="20" spans="1:12" x14ac:dyDescent="0.35">
      <c r="A20" s="78">
        <v>19</v>
      </c>
      <c r="B20" s="78">
        <f t="shared" si="0"/>
        <v>361</v>
      </c>
      <c r="C20" s="34">
        <v>4165.1149999999998</v>
      </c>
      <c r="D20" s="91">
        <f t="shared" si="1"/>
        <v>3517.4211470322716</v>
      </c>
      <c r="E20" s="91">
        <f t="shared" si="2"/>
        <v>-647.69385296772816</v>
      </c>
      <c r="F20" s="91">
        <f t="shared" si="3"/>
        <v>647.69385296772816</v>
      </c>
      <c r="G20" s="91">
        <f>SUMSQ($F20:F20)/A20</f>
        <v>22079.33300906216</v>
      </c>
      <c r="H20" s="91">
        <f>SUM($F20:F20)/A20</f>
        <v>34.089150156196219</v>
      </c>
      <c r="I20" s="121">
        <f t="shared" si="4"/>
        <v>15.55044345636863</v>
      </c>
      <c r="J20" s="121">
        <f>AVERAGE($I$2:I20)</f>
        <v>11.271381783090929</v>
      </c>
      <c r="K20" s="121">
        <f>SUM($E$2:E20)/H20</f>
        <v>-7.7745868008008729</v>
      </c>
      <c r="L20" s="54" t="s">
        <v>21</v>
      </c>
    </row>
    <row r="21" spans="1:12" x14ac:dyDescent="0.35">
      <c r="A21" s="79">
        <v>20</v>
      </c>
      <c r="B21" s="79">
        <f t="shared" si="0"/>
        <v>400</v>
      </c>
      <c r="C21" s="50">
        <v>2911.9210000000003</v>
      </c>
      <c r="D21" s="91">
        <f t="shared" si="1"/>
        <v>3548.3605268130032</v>
      </c>
      <c r="E21" s="91">
        <f t="shared" si="2"/>
        <v>636.43952681300289</v>
      </c>
      <c r="F21" s="91">
        <f t="shared" si="3"/>
        <v>636.43952681300289</v>
      </c>
      <c r="G21" s="91">
        <f>SUMSQ($F21:F21)/A21</f>
        <v>20252.763564497953</v>
      </c>
      <c r="H21" s="91">
        <f>SUM($F21:F21)/A21</f>
        <v>31.821976340650146</v>
      </c>
      <c r="I21" s="121">
        <f t="shared" si="4"/>
        <v>21.856345924666325</v>
      </c>
      <c r="J21" s="121">
        <f>AVERAGE($I$2:I21)</f>
        <v>11.8006299901697</v>
      </c>
      <c r="K21" s="121">
        <f>SUM($E$2:E21)/H21</f>
        <v>11.671508582063529</v>
      </c>
      <c r="L21" s="55" t="s">
        <v>22</v>
      </c>
    </row>
    <row r="22" spans="1:12" x14ac:dyDescent="0.35">
      <c r="A22" s="78">
        <v>21</v>
      </c>
      <c r="B22" s="78">
        <f t="shared" si="0"/>
        <v>441</v>
      </c>
      <c r="C22" s="34">
        <v>3185.0740000000001</v>
      </c>
      <c r="D22" s="91">
        <f t="shared" si="1"/>
        <v>3581.2799014113111</v>
      </c>
      <c r="E22" s="91">
        <f t="shared" si="2"/>
        <v>396.20590141131106</v>
      </c>
      <c r="F22" s="91">
        <f t="shared" si="3"/>
        <v>396.20590141131106</v>
      </c>
      <c r="G22" s="91">
        <f>SUMSQ($F22:F22)/A22</f>
        <v>7475.1960149118831</v>
      </c>
      <c r="H22" s="91">
        <f>SUM($F22:F22)/A22</f>
        <v>18.866947686252907</v>
      </c>
      <c r="I22" s="121">
        <f t="shared" si="4"/>
        <v>12.439456709995154</v>
      </c>
      <c r="J22" s="121">
        <f>AVERAGE($I$2:I22)</f>
        <v>11.831050310161388</v>
      </c>
      <c r="K22" s="121">
        <f>SUM($E$2:E22)/H22</f>
        <v>40.685774092051091</v>
      </c>
      <c r="L22" s="54" t="s">
        <v>23</v>
      </c>
    </row>
    <row r="23" spans="1:12" x14ac:dyDescent="0.35">
      <c r="A23" s="79">
        <v>22</v>
      </c>
      <c r="B23" s="79">
        <f t="shared" si="0"/>
        <v>484</v>
      </c>
      <c r="C23" s="50">
        <v>3265.3599999999997</v>
      </c>
      <c r="D23" s="91">
        <f t="shared" si="1"/>
        <v>3616.1792708271955</v>
      </c>
      <c r="E23" s="91">
        <f t="shared" si="2"/>
        <v>350.81927082719585</v>
      </c>
      <c r="F23" s="91">
        <f t="shared" si="3"/>
        <v>350.81927082719585</v>
      </c>
      <c r="G23" s="91">
        <f>SUMSQ($F23:F23)/A23</f>
        <v>5594.2800356238813</v>
      </c>
      <c r="H23" s="91">
        <f>SUM($F23:F23)/A23</f>
        <v>15.946330492145266</v>
      </c>
      <c r="I23" s="121">
        <f t="shared" si="4"/>
        <v>10.743662898645047</v>
      </c>
      <c r="J23" s="121">
        <f>AVERAGE($I$2:I23)</f>
        <v>11.781623609637917</v>
      </c>
      <c r="K23" s="121">
        <f>SUM($E$2:E23)/H23</f>
        <v>70.13749293278093</v>
      </c>
      <c r="L23" s="55" t="s">
        <v>24</v>
      </c>
    </row>
    <row r="24" spans="1:12" x14ac:dyDescent="0.35">
      <c r="A24" s="78">
        <v>23</v>
      </c>
      <c r="B24" s="78">
        <f t="shared" si="0"/>
        <v>529</v>
      </c>
      <c r="C24" s="34">
        <v>4256.2119999999995</v>
      </c>
      <c r="D24" s="91">
        <f t="shared" si="1"/>
        <v>3653.0586350606563</v>
      </c>
      <c r="E24" s="91">
        <f t="shared" si="2"/>
        <v>-603.15336493934319</v>
      </c>
      <c r="F24" s="91">
        <f t="shared" si="3"/>
        <v>603.15336493934319</v>
      </c>
      <c r="G24" s="91">
        <f>SUMSQ($F24:F24)/A24</f>
        <v>15817.129636419673</v>
      </c>
      <c r="H24" s="91">
        <f>SUM($F24:F24)/A24</f>
        <v>26.224059345188834</v>
      </c>
      <c r="I24" s="121">
        <f t="shared" si="4"/>
        <v>14.171130689433308</v>
      </c>
      <c r="J24" s="121">
        <f>AVERAGE($I$2:I24)</f>
        <v>11.885515221802935</v>
      </c>
      <c r="K24" s="121">
        <f>SUM($E$2:E24)/H24</f>
        <v>19.649218699309422</v>
      </c>
      <c r="L24" s="54" t="s">
        <v>25</v>
      </c>
    </row>
    <row r="25" spans="1:12" x14ac:dyDescent="0.35">
      <c r="A25" s="79">
        <v>24</v>
      </c>
      <c r="B25" s="79">
        <f t="shared" si="0"/>
        <v>576</v>
      </c>
      <c r="C25" s="50">
        <v>3411.14</v>
      </c>
      <c r="D25" s="91">
        <f t="shared" si="1"/>
        <v>3691.9179941116931</v>
      </c>
      <c r="E25" s="91">
        <f t="shared" si="2"/>
        <v>280.77799411169326</v>
      </c>
      <c r="F25" s="91">
        <f t="shared" si="3"/>
        <v>280.77799411169326</v>
      </c>
      <c r="G25" s="91">
        <f>SUMSQ($F25:F25)/A25</f>
        <v>3284.8450823910857</v>
      </c>
      <c r="H25" s="91">
        <f>SUM($F25:F25)/A25</f>
        <v>11.699083087987219</v>
      </c>
      <c r="I25" s="121">
        <f t="shared" si="4"/>
        <v>8.2312069897950035</v>
      </c>
      <c r="J25" s="121">
        <f>AVERAGE($I$2:I25)</f>
        <v>11.733252378802604</v>
      </c>
      <c r="K25" s="121">
        <f>SUM($E$2:E25)/H25</f>
        <v>68.044671995396243</v>
      </c>
      <c r="L25" s="55" t="s">
        <v>26</v>
      </c>
    </row>
    <row r="26" spans="1:12" x14ac:dyDescent="0.35">
      <c r="A26" s="78">
        <v>25</v>
      </c>
      <c r="B26" s="78">
        <f t="shared" si="0"/>
        <v>625</v>
      </c>
      <c r="C26" s="34">
        <v>3494.1019999999999</v>
      </c>
      <c r="D26" s="91">
        <f t="shared" si="1"/>
        <v>3732.7573479803068</v>
      </c>
      <c r="E26" s="91">
        <f t="shared" si="2"/>
        <v>238.65534798030694</v>
      </c>
      <c r="F26" s="91">
        <f t="shared" si="3"/>
        <v>238.65534798030694</v>
      </c>
      <c r="G26" s="91">
        <f>SUMSQ($F26:F26)/A26</f>
        <v>2278.2550047840559</v>
      </c>
      <c r="H26" s="91">
        <f>SUM($F26:F26)/A26</f>
        <v>9.5462139192122777</v>
      </c>
      <c r="I26" s="121">
        <f t="shared" si="4"/>
        <v>6.8302341482963849</v>
      </c>
      <c r="J26" s="121">
        <f>AVERAGE($I$2:I26)</f>
        <v>11.537131649582355</v>
      </c>
      <c r="K26" s="121">
        <f>SUM($E$2:E26)/H26</f>
        <v>108.39015635998507</v>
      </c>
      <c r="L26" s="54" t="s">
        <v>27</v>
      </c>
    </row>
    <row r="27" spans="1:12" x14ac:dyDescent="0.35">
      <c r="A27" s="79">
        <v>26</v>
      </c>
      <c r="B27" s="79">
        <f t="shared" si="0"/>
        <v>676</v>
      </c>
      <c r="C27" s="50">
        <v>3692.1639999999998</v>
      </c>
      <c r="D27" s="91">
        <f t="shared" si="1"/>
        <v>3775.5766966664964</v>
      </c>
      <c r="E27" s="91">
        <f t="shared" si="2"/>
        <v>83.412696666496686</v>
      </c>
      <c r="F27" s="91">
        <f t="shared" si="3"/>
        <v>83.412696666496686</v>
      </c>
      <c r="G27" s="91">
        <f>SUMSQ($F27:F27)/A27</f>
        <v>267.60299866065338</v>
      </c>
      <c r="H27" s="91">
        <f>SUM($F27:F27)/A27</f>
        <v>3.2081806410191032</v>
      </c>
      <c r="I27" s="121">
        <f t="shared" si="4"/>
        <v>2.25918178787553</v>
      </c>
      <c r="J27" s="121">
        <f>AVERAGE($I$2:I27)</f>
        <v>11.180287424132093</v>
      </c>
      <c r="K27" s="121">
        <f>SUM($E$2:E27)/H27</f>
        <v>348.52411417226159</v>
      </c>
      <c r="L27" s="55" t="s">
        <v>28</v>
      </c>
    </row>
    <row r="28" spans="1:12" x14ac:dyDescent="0.35">
      <c r="A28" s="78">
        <v>27</v>
      </c>
      <c r="B28" s="78">
        <f t="shared" si="0"/>
        <v>729</v>
      </c>
      <c r="C28" s="34">
        <v>3714.1660000000002</v>
      </c>
      <c r="D28" s="91">
        <f t="shared" si="1"/>
        <v>3820.3760401702625</v>
      </c>
      <c r="E28" s="91">
        <f t="shared" si="2"/>
        <v>106.21004017026235</v>
      </c>
      <c r="F28" s="91">
        <f t="shared" si="3"/>
        <v>106.21004017026235</v>
      </c>
      <c r="G28" s="91">
        <f>SUMSQ($F28:F28)/A28</f>
        <v>417.79898640624964</v>
      </c>
      <c r="H28" s="91">
        <f>SUM($F28:F28)/A28</f>
        <v>3.9337051914911978</v>
      </c>
      <c r="I28" s="121">
        <f t="shared" si="4"/>
        <v>2.8595932483971462</v>
      </c>
      <c r="J28" s="121">
        <f>AVERAGE($I$2:I28)</f>
        <v>10.872113565771539</v>
      </c>
      <c r="K28" s="121">
        <f>SUM($E$2:E28)/H28</f>
        <v>311.24303845502942</v>
      </c>
      <c r="L28" s="54" t="s">
        <v>29</v>
      </c>
    </row>
    <row r="29" spans="1:12" x14ac:dyDescent="0.35">
      <c r="A29" s="79">
        <v>28</v>
      </c>
      <c r="B29" s="79">
        <f t="shared" si="0"/>
        <v>784</v>
      </c>
      <c r="C29" s="50">
        <v>3807.252</v>
      </c>
      <c r="D29" s="91">
        <f t="shared" si="1"/>
        <v>3867.155378491605</v>
      </c>
      <c r="E29" s="91">
        <f t="shared" si="2"/>
        <v>59.903378491605054</v>
      </c>
      <c r="F29" s="91">
        <f t="shared" si="3"/>
        <v>59.903378491605054</v>
      </c>
      <c r="G29" s="91">
        <f>SUMSQ($F29:F29)/A29</f>
        <v>128.15766981101754</v>
      </c>
      <c r="H29" s="91">
        <f>SUM($F29:F29)/A29</f>
        <v>2.1394063747001804</v>
      </c>
      <c r="I29" s="121">
        <f t="shared" si="4"/>
        <v>1.5734019836775988</v>
      </c>
      <c r="J29" s="121">
        <f>AVERAGE($I$2:I29)</f>
        <v>10.540016723553899</v>
      </c>
      <c r="K29" s="121">
        <f>SUM($E$2:E29)/H29</f>
        <v>600.27947465456361</v>
      </c>
      <c r="L29" s="55" t="s">
        <v>30</v>
      </c>
    </row>
    <row r="30" spans="1:12" x14ac:dyDescent="0.35">
      <c r="A30" s="78">
        <v>29</v>
      </c>
      <c r="B30" s="78">
        <f t="shared" si="0"/>
        <v>841</v>
      </c>
      <c r="C30" s="34">
        <v>3889.8969999999999</v>
      </c>
      <c r="D30" s="91">
        <f t="shared" si="1"/>
        <v>3915.9147116305239</v>
      </c>
      <c r="E30" s="91">
        <f t="shared" si="2"/>
        <v>26.017711630523991</v>
      </c>
      <c r="F30" s="91">
        <f t="shared" si="3"/>
        <v>26.017711630523991</v>
      </c>
      <c r="G30" s="91">
        <f>SUMSQ($F30:F30)/A30</f>
        <v>23.342114430658736</v>
      </c>
      <c r="H30" s="91">
        <f>SUM($F30:F30)/A30</f>
        <v>0.89716247001806859</v>
      </c>
      <c r="I30" s="121">
        <f t="shared" si="4"/>
        <v>0.66885348456588933</v>
      </c>
      <c r="J30" s="121">
        <f>AVERAGE($I$2:I30)</f>
        <v>10.19963178427845</v>
      </c>
      <c r="K30" s="121">
        <f>SUM($E$2:E30)/H30</f>
        <v>1460.4483469775373</v>
      </c>
      <c r="L30" s="54" t="s">
        <v>31</v>
      </c>
    </row>
    <row r="31" spans="1:12" x14ac:dyDescent="0.35">
      <c r="A31" s="79">
        <v>30</v>
      </c>
      <c r="B31" s="79">
        <f t="shared" si="0"/>
        <v>900</v>
      </c>
      <c r="C31" s="50">
        <v>4010.0519999999997</v>
      </c>
      <c r="D31" s="91">
        <f t="shared" si="1"/>
        <v>3966.6540395870193</v>
      </c>
      <c r="E31" s="91">
        <f t="shared" si="2"/>
        <v>-43.39796041298041</v>
      </c>
      <c r="F31" s="91">
        <f t="shared" si="3"/>
        <v>43.39796041298041</v>
      </c>
      <c r="G31" s="91">
        <f>SUMSQ($F31:F31)/A31</f>
        <v>62.779432266887163</v>
      </c>
      <c r="H31" s="91">
        <f>SUM($F31:F31)/A31</f>
        <v>1.4465986804326803</v>
      </c>
      <c r="I31" s="121">
        <f t="shared" si="4"/>
        <v>1.08222936792292</v>
      </c>
      <c r="J31" s="121">
        <f>AVERAGE($I$2:I31)</f>
        <v>9.8957183703999316</v>
      </c>
      <c r="K31" s="121">
        <f>SUM($E$2:E31)/H31</f>
        <v>875.75186057564486</v>
      </c>
      <c r="L31" s="55" t="s">
        <v>32</v>
      </c>
    </row>
    <row r="32" spans="1:12" x14ac:dyDescent="0.35">
      <c r="A32" s="78">
        <v>31</v>
      </c>
      <c r="B32" s="78">
        <f t="shared" si="0"/>
        <v>961</v>
      </c>
      <c r="C32" s="34">
        <v>3947.6409999999996</v>
      </c>
      <c r="D32" s="91">
        <f t="shared" si="1"/>
        <v>4019.373362361091</v>
      </c>
      <c r="E32" s="91">
        <f t="shared" si="2"/>
        <v>71.732362361091418</v>
      </c>
      <c r="F32" s="91">
        <f t="shared" si="3"/>
        <v>71.732362361091418</v>
      </c>
      <c r="G32" s="91">
        <f>SUMSQ($F32:F32)/A32</f>
        <v>165.98489709364273</v>
      </c>
      <c r="H32" s="91">
        <f>SUM($F32:F32)/A32</f>
        <v>2.3139471729384327</v>
      </c>
      <c r="I32" s="121">
        <f t="shared" si="4"/>
        <v>1.8170943700577491</v>
      </c>
      <c r="J32" s="121">
        <f>AVERAGE($I$2:I32)</f>
        <v>9.6351175961953466</v>
      </c>
      <c r="K32" s="121">
        <f>SUM($E$2:E32)/H32</f>
        <v>578.48937257994169</v>
      </c>
      <c r="L32" s="54" t="s">
        <v>33</v>
      </c>
    </row>
    <row r="33" spans="1:12" x14ac:dyDescent="0.35">
      <c r="A33" s="79">
        <v>32</v>
      </c>
      <c r="B33" s="79">
        <f t="shared" si="0"/>
        <v>1024</v>
      </c>
      <c r="C33" s="50">
        <v>4314.2849999999999</v>
      </c>
      <c r="D33" s="91">
        <f t="shared" si="1"/>
        <v>4074.0726799527392</v>
      </c>
      <c r="E33" s="91">
        <f t="shared" si="2"/>
        <v>-240.21232004726062</v>
      </c>
      <c r="F33" s="91">
        <f t="shared" si="3"/>
        <v>240.21232004726062</v>
      </c>
      <c r="G33" s="91">
        <f>SUMSQ($F33:F33)/A33</f>
        <v>1803.1862094527364</v>
      </c>
      <c r="H33" s="91">
        <f>SUM($F33:F33)/A33</f>
        <v>7.5066350014768943</v>
      </c>
      <c r="I33" s="121">
        <f t="shared" si="4"/>
        <v>5.5678361547107018</v>
      </c>
      <c r="J33" s="121">
        <f>AVERAGE($I$2:I33)</f>
        <v>9.5080150511489503</v>
      </c>
      <c r="K33" s="121">
        <f>SUM($E$2:E33)/H33</f>
        <v>146.32142471199438</v>
      </c>
      <c r="L33" s="55" t="s">
        <v>34</v>
      </c>
    </row>
    <row r="34" spans="1:12" x14ac:dyDescent="0.35">
      <c r="A34" s="78">
        <v>33</v>
      </c>
      <c r="B34" s="78">
        <f t="shared" si="0"/>
        <v>1089</v>
      </c>
      <c r="C34" s="34">
        <v>4375.1080000000002</v>
      </c>
      <c r="D34" s="91">
        <f t="shared" ref="D34:D60" si="5">($P$4*POWER(A34,2))+($P$3*A34)+$P$2</f>
        <v>4130.7519923619639</v>
      </c>
      <c r="E34" s="91">
        <f t="shared" si="2"/>
        <v>-244.35600763803632</v>
      </c>
      <c r="F34" s="91">
        <f t="shared" si="3"/>
        <v>244.35600763803632</v>
      </c>
      <c r="G34" s="91">
        <f>SUMSQ($F34:F34)/A34</f>
        <v>1809.3896505696989</v>
      </c>
      <c r="H34" s="91">
        <f>SUM($F34:F34)/A34</f>
        <v>7.4047275041829188</v>
      </c>
      <c r="I34" s="121">
        <f t="shared" si="4"/>
        <v>5.5851423013565906</v>
      </c>
      <c r="J34" s="121">
        <f>AVERAGE($I$2:I34)</f>
        <v>9.3891401193370605</v>
      </c>
      <c r="K34" s="121">
        <f>SUM($E$2:E34)/H34</f>
        <v>115.33517203550693</v>
      </c>
      <c r="L34" s="54" t="s">
        <v>35</v>
      </c>
    </row>
    <row r="35" spans="1:12" x14ac:dyDescent="0.35">
      <c r="A35" s="79">
        <v>34</v>
      </c>
      <c r="B35" s="79">
        <f t="shared" si="0"/>
        <v>1156</v>
      </c>
      <c r="C35" s="50">
        <v>4398.5460000000003</v>
      </c>
      <c r="D35" s="91">
        <f t="shared" si="5"/>
        <v>4189.4112995887645</v>
      </c>
      <c r="E35" s="91">
        <f t="shared" si="2"/>
        <v>-209.13470041123583</v>
      </c>
      <c r="F35" s="91">
        <f t="shared" si="3"/>
        <v>209.13470041123583</v>
      </c>
      <c r="G35" s="91">
        <f>SUMSQ($F35:F35)/A35</f>
        <v>1286.391850473452</v>
      </c>
      <c r="H35" s="91">
        <f>SUM($F35:F35)/A35</f>
        <v>6.1510206003304653</v>
      </c>
      <c r="I35" s="121">
        <f t="shared" si="4"/>
        <v>4.7546325629250168</v>
      </c>
      <c r="J35" s="121">
        <f>AVERAGE($I$2:I35)</f>
        <v>9.2528310735602357</v>
      </c>
      <c r="K35" s="121">
        <f>SUM($E$2:E35)/H35</f>
        <v>104.84289714866246</v>
      </c>
      <c r="L35" s="55" t="s">
        <v>36</v>
      </c>
    </row>
    <row r="36" spans="1:12" x14ac:dyDescent="0.35">
      <c r="A36" s="78">
        <v>35</v>
      </c>
      <c r="B36" s="78">
        <f t="shared" si="0"/>
        <v>1225</v>
      </c>
      <c r="C36" s="34">
        <v>4257.6869999999999</v>
      </c>
      <c r="D36" s="91">
        <f t="shared" si="5"/>
        <v>4250.050601633141</v>
      </c>
      <c r="E36" s="91">
        <f t="shared" si="2"/>
        <v>-7.6363983668588844</v>
      </c>
      <c r="F36" s="91">
        <f t="shared" si="3"/>
        <v>7.6363983668588844</v>
      </c>
      <c r="G36" s="91">
        <f>SUMSQ($F36:F36)/A36</f>
        <v>1.666130857639001</v>
      </c>
      <c r="H36" s="91">
        <f>SUM($F36:F36)/A36</f>
        <v>0.21818281048168242</v>
      </c>
      <c r="I36" s="121">
        <f t="shared" si="4"/>
        <v>0.17935556011653475</v>
      </c>
      <c r="J36" s="121">
        <f>AVERAGE($I$2:I36)</f>
        <v>8.9935889160332732</v>
      </c>
      <c r="K36" s="121">
        <f>SUM($E$2:E36)/H36</f>
        <v>2920.7361495895339</v>
      </c>
      <c r="L36" s="54" t="s">
        <v>37</v>
      </c>
    </row>
    <row r="37" spans="1:12" x14ac:dyDescent="0.35">
      <c r="A37" s="79">
        <v>36</v>
      </c>
      <c r="B37" s="79">
        <f t="shared" si="0"/>
        <v>1296</v>
      </c>
      <c r="C37" s="50">
        <v>4518.3440000000001</v>
      </c>
      <c r="D37" s="91">
        <f t="shared" si="5"/>
        <v>4312.6698984950945</v>
      </c>
      <c r="E37" s="91">
        <f t="shared" si="2"/>
        <v>-205.67410150490559</v>
      </c>
      <c r="F37" s="91">
        <f t="shared" si="3"/>
        <v>205.67410150490559</v>
      </c>
      <c r="G37" s="91">
        <f>SUMSQ($F37:F37)/A37</f>
        <v>1175.0510008291724</v>
      </c>
      <c r="H37" s="91">
        <f>SUM($F37:F37)/A37</f>
        <v>5.7131694862473772</v>
      </c>
      <c r="I37" s="121">
        <f t="shared" si="4"/>
        <v>4.5519796966522597</v>
      </c>
      <c r="J37" s="121">
        <f>AVERAGE($I$2:I37)</f>
        <v>8.8702108821615795</v>
      </c>
      <c r="K37" s="121">
        <f>SUM($E$2:E37)/H37</f>
        <v>75.541312283291731</v>
      </c>
      <c r="L37" s="55" t="s">
        <v>38</v>
      </c>
    </row>
    <row r="38" spans="1:12" x14ac:dyDescent="0.35">
      <c r="A38" s="78">
        <v>37</v>
      </c>
      <c r="B38" s="78">
        <f t="shared" si="0"/>
        <v>1369</v>
      </c>
      <c r="C38" s="34">
        <v>4358.7479999999996</v>
      </c>
      <c r="D38" s="91">
        <f t="shared" si="5"/>
        <v>4377.2691901746248</v>
      </c>
      <c r="E38" s="91">
        <f t="shared" si="2"/>
        <v>18.52119017462519</v>
      </c>
      <c r="F38" s="91">
        <f t="shared" si="3"/>
        <v>18.52119017462519</v>
      </c>
      <c r="G38" s="91">
        <f>SUMSQ($F38:F38)/A38</f>
        <v>9.271202310395477</v>
      </c>
      <c r="H38" s="91">
        <f>SUM($F38:F38)/A38</f>
        <v>0.50057270742230242</v>
      </c>
      <c r="I38" s="121">
        <f t="shared" si="4"/>
        <v>0.42491995808487182</v>
      </c>
      <c r="J38" s="121">
        <f>AVERAGE($I$2:I38)</f>
        <v>8.6419597761054519</v>
      </c>
      <c r="K38" s="121">
        <f>SUM($E$2:E38)/H38</f>
        <v>899.17309471466797</v>
      </c>
      <c r="L38" s="54" t="s">
        <v>39</v>
      </c>
    </row>
    <row r="39" spans="1:12" x14ac:dyDescent="0.35">
      <c r="A39" s="79">
        <v>38</v>
      </c>
      <c r="B39" s="79">
        <f t="shared" si="0"/>
        <v>1444</v>
      </c>
      <c r="C39" s="50">
        <v>4560.9520000000002</v>
      </c>
      <c r="D39" s="91">
        <f t="shared" si="5"/>
        <v>4443.8484766717311</v>
      </c>
      <c r="E39" s="91">
        <f t="shared" si="2"/>
        <v>-117.10352332826915</v>
      </c>
      <c r="F39" s="91">
        <f t="shared" si="3"/>
        <v>117.10352332826915</v>
      </c>
      <c r="G39" s="91">
        <f>SUMSQ($F39:F39)/A39</f>
        <v>360.87460989195989</v>
      </c>
      <c r="H39" s="91">
        <f>SUM($F39:F39)/A39</f>
        <v>3.0816716665333987</v>
      </c>
      <c r="I39" s="121">
        <f t="shared" si="4"/>
        <v>2.5675236952344407</v>
      </c>
      <c r="J39" s="121">
        <f>AVERAGE($I$2:I39)</f>
        <v>8.4821061950298997</v>
      </c>
      <c r="K39" s="121">
        <f>SUM($E$2:E39)/H39</f>
        <v>108.05758145835669</v>
      </c>
      <c r="L39" s="55" t="s">
        <v>40</v>
      </c>
    </row>
    <row r="40" spans="1:12" x14ac:dyDescent="0.35">
      <c r="A40" s="78">
        <v>39</v>
      </c>
      <c r="B40" s="78">
        <f t="shared" si="0"/>
        <v>1521</v>
      </c>
      <c r="C40" s="34">
        <v>4659.3</v>
      </c>
      <c r="D40" s="91">
        <f t="shared" si="5"/>
        <v>4512.4077579864133</v>
      </c>
      <c r="E40" s="91">
        <f t="shared" si="2"/>
        <v>-146.89224201358684</v>
      </c>
      <c r="F40" s="91">
        <f t="shared" si="3"/>
        <v>146.89224201358684</v>
      </c>
      <c r="G40" s="91">
        <f>SUMSQ($F40:F40)/A40</f>
        <v>553.26489137892736</v>
      </c>
      <c r="H40" s="91">
        <f>SUM($F40:F40)/A40</f>
        <v>3.766467743938124</v>
      </c>
      <c r="I40" s="121">
        <f t="shared" si="4"/>
        <v>3.1526676113061369</v>
      </c>
      <c r="J40" s="121">
        <f>AVERAGE($I$2:I40)</f>
        <v>8.3454539236523679</v>
      </c>
      <c r="K40" s="121">
        <f>SUM($E$2:E40)/H40</f>
        <v>49.411214371948461</v>
      </c>
      <c r="L40" s="54" t="s">
        <v>41</v>
      </c>
    </row>
    <row r="41" spans="1:12" x14ac:dyDescent="0.35">
      <c r="A41" s="79">
        <v>40</v>
      </c>
      <c r="B41" s="79">
        <f t="shared" si="0"/>
        <v>1600</v>
      </c>
      <c r="C41" s="50">
        <v>4750.366</v>
      </c>
      <c r="D41" s="91">
        <f t="shared" si="5"/>
        <v>4582.9470341186725</v>
      </c>
      <c r="E41" s="91">
        <f t="shared" si="2"/>
        <v>-167.41896588132749</v>
      </c>
      <c r="F41" s="91">
        <f t="shared" si="3"/>
        <v>167.41896588132749</v>
      </c>
      <c r="G41" s="91">
        <f>SUMSQ($F41:F41)/A41</f>
        <v>700.72775341932743</v>
      </c>
      <c r="H41" s="91">
        <f>SUM($F41:F41)/A41</f>
        <v>4.1854741470331875</v>
      </c>
      <c r="I41" s="121">
        <f t="shared" si="4"/>
        <v>3.5243382484913264</v>
      </c>
      <c r="J41" s="121">
        <f>AVERAGE($I$2:I41)</f>
        <v>8.2249260317733413</v>
      </c>
      <c r="K41" s="121">
        <f>SUM($E$2:E41)/H41</f>
        <v>4.4646743912333289</v>
      </c>
      <c r="L41" s="55" t="s">
        <v>42</v>
      </c>
    </row>
    <row r="42" spans="1:12" x14ac:dyDescent="0.35">
      <c r="A42" s="78">
        <v>41</v>
      </c>
      <c r="B42" s="78">
        <f t="shared" si="0"/>
        <v>1681</v>
      </c>
      <c r="C42" s="34">
        <v>4532.5</v>
      </c>
      <c r="D42" s="91">
        <f t="shared" si="5"/>
        <v>4655.4663050685076</v>
      </c>
      <c r="E42" s="91">
        <f t="shared" si="2"/>
        <v>122.96630506850761</v>
      </c>
      <c r="F42" s="91">
        <f t="shared" si="3"/>
        <v>122.96630506850761</v>
      </c>
      <c r="G42" s="91">
        <f>SUMSQ($F42:F42)/A42</f>
        <v>368.79785810247023</v>
      </c>
      <c r="H42" s="91">
        <f>SUM($F42:F42)/A42</f>
        <v>2.9991781724026247</v>
      </c>
      <c r="I42" s="121">
        <f t="shared" si="4"/>
        <v>2.7129907351022089</v>
      </c>
      <c r="J42" s="121">
        <f>AVERAGE($I$2:I42)</f>
        <v>8.0904885855130697</v>
      </c>
      <c r="K42" s="121">
        <f>SUM($E$2:E42)/H42</f>
        <v>47.230633248593684</v>
      </c>
      <c r="L42" s="54" t="s">
        <v>43</v>
      </c>
    </row>
    <row r="43" spans="1:12" x14ac:dyDescent="0.35">
      <c r="A43" s="79">
        <v>42</v>
      </c>
      <c r="B43" s="79">
        <f t="shared" si="0"/>
        <v>1764</v>
      </c>
      <c r="C43" s="50">
        <v>4794.3590000000004</v>
      </c>
      <c r="D43" s="91">
        <f t="shared" si="5"/>
        <v>4729.9655708359196</v>
      </c>
      <c r="E43" s="91">
        <f t="shared" si="2"/>
        <v>-64.393429164080771</v>
      </c>
      <c r="F43" s="91">
        <f t="shared" si="3"/>
        <v>64.393429164080771</v>
      </c>
      <c r="G43" s="91">
        <f>SUMSQ($F43:F43)/A43</f>
        <v>98.726517131178269</v>
      </c>
      <c r="H43" s="91">
        <f>SUM($F43:F43)/A43</f>
        <v>1.5331768848590659</v>
      </c>
      <c r="I43" s="121">
        <f t="shared" si="4"/>
        <v>1.3431082062081869</v>
      </c>
      <c r="J43" s="121">
        <f>AVERAGE($I$2:I43)</f>
        <v>7.9298366717200963</v>
      </c>
      <c r="K43" s="121">
        <f>SUM($E$2:E43)/H43</f>
        <v>50.391873179693157</v>
      </c>
      <c r="L43" s="55" t="s">
        <v>44</v>
      </c>
    </row>
    <row r="44" spans="1:12" x14ac:dyDescent="0.35">
      <c r="A44" s="78">
        <v>43</v>
      </c>
      <c r="B44" s="78">
        <f t="shared" si="0"/>
        <v>1849</v>
      </c>
      <c r="C44" s="34">
        <v>4187.83</v>
      </c>
      <c r="D44" s="91">
        <f t="shared" si="5"/>
        <v>4806.4448314209076</v>
      </c>
      <c r="E44" s="91">
        <f t="shared" si="2"/>
        <v>618.61483142090765</v>
      </c>
      <c r="F44" s="91">
        <f t="shared" si="3"/>
        <v>618.61483142090765</v>
      </c>
      <c r="G44" s="91">
        <f>SUMSQ($F44:F44)/A44</f>
        <v>8899.6351082306501</v>
      </c>
      <c r="H44" s="91">
        <f>SUM($F44:F44)/A44</f>
        <v>14.386391428393202</v>
      </c>
      <c r="I44" s="121">
        <f t="shared" si="4"/>
        <v>14.771727396310444</v>
      </c>
      <c r="J44" s="121">
        <f>AVERAGE($I$2:I44)</f>
        <v>8.0889504095012672</v>
      </c>
      <c r="K44" s="121">
        <f>SUM($E$2:E44)/H44</f>
        <v>48.370329003517462</v>
      </c>
      <c r="L44" s="54" t="s">
        <v>45</v>
      </c>
    </row>
    <row r="45" spans="1:12" x14ac:dyDescent="0.35">
      <c r="A45" s="79">
        <v>44</v>
      </c>
      <c r="B45" s="79">
        <f t="shared" si="0"/>
        <v>1936</v>
      </c>
      <c r="C45" s="50">
        <v>5120.07</v>
      </c>
      <c r="D45" s="91">
        <f t="shared" si="5"/>
        <v>4884.9040868234715</v>
      </c>
      <c r="E45" s="91">
        <f t="shared" si="2"/>
        <v>-235.16591317652819</v>
      </c>
      <c r="F45" s="91">
        <f t="shared" si="3"/>
        <v>235.16591317652819</v>
      </c>
      <c r="G45" s="91">
        <f>SUMSQ($F45:F45)/A45</f>
        <v>1256.8865163670546</v>
      </c>
      <c r="H45" s="91">
        <f>SUM($F45:F45)/A45</f>
        <v>5.344679844921095</v>
      </c>
      <c r="I45" s="121">
        <f t="shared" si="4"/>
        <v>4.593021446513978</v>
      </c>
      <c r="J45" s="121">
        <f>AVERAGE($I$2:I45)</f>
        <v>8.009497478524283</v>
      </c>
      <c r="K45" s="121">
        <f>SUM($E$2:E45)/H45</f>
        <v>86.199470642948512</v>
      </c>
      <c r="L45" s="55" t="s">
        <v>46</v>
      </c>
    </row>
    <row r="46" spans="1:12" x14ac:dyDescent="0.35">
      <c r="A46" s="78">
        <v>45</v>
      </c>
      <c r="B46" s="78">
        <f t="shared" si="0"/>
        <v>2025</v>
      </c>
      <c r="C46" s="34">
        <v>4755.9179999999997</v>
      </c>
      <c r="D46" s="91">
        <f t="shared" si="5"/>
        <v>4965.3433370436123</v>
      </c>
      <c r="E46" s="91">
        <f t="shared" si="2"/>
        <v>209.42533704361267</v>
      </c>
      <c r="F46" s="91">
        <f t="shared" si="3"/>
        <v>209.42533704361267</v>
      </c>
      <c r="G46" s="91">
        <f>SUMSQ($F46:F46)/A46</f>
        <v>974.64381768512817</v>
      </c>
      <c r="H46" s="91">
        <f>SUM($F46:F46)/A46</f>
        <v>4.6538963787469481</v>
      </c>
      <c r="I46" s="121">
        <f t="shared" si="4"/>
        <v>4.4034682062140824</v>
      </c>
      <c r="J46" s="121">
        <f>AVERAGE($I$2:I46)</f>
        <v>7.9293634946951679</v>
      </c>
      <c r="K46" s="121">
        <f>SUM($E$2:E46)/H46</f>
        <v>143.9941622877902</v>
      </c>
      <c r="L46" s="54" t="s">
        <v>47</v>
      </c>
    </row>
    <row r="47" spans="1:12" x14ac:dyDescent="0.35">
      <c r="A47" s="79">
        <v>46</v>
      </c>
      <c r="B47" s="79">
        <f t="shared" si="0"/>
        <v>2116</v>
      </c>
      <c r="C47" s="50">
        <v>5158.3530000000001</v>
      </c>
      <c r="D47" s="91">
        <f t="shared" si="5"/>
        <v>5047.76258208133</v>
      </c>
      <c r="E47" s="91">
        <f t="shared" si="2"/>
        <v>-110.59041791867003</v>
      </c>
      <c r="F47" s="91">
        <f t="shared" si="3"/>
        <v>110.59041791867003</v>
      </c>
      <c r="G47" s="91">
        <f>SUMSQ($F47:F47)/A47</f>
        <v>265.8747942483933</v>
      </c>
      <c r="H47" s="91">
        <f>SUM($F47:F47)/A47</f>
        <v>2.4041395199710878</v>
      </c>
      <c r="I47" s="121">
        <f t="shared" si="4"/>
        <v>2.1439094594470371</v>
      </c>
      <c r="J47" s="121">
        <f>AVERAGE($I$2:I47)</f>
        <v>7.80359275479847</v>
      </c>
      <c r="K47" s="121">
        <f>SUM($E$2:E47)/H47</f>
        <v>232.7416890180759</v>
      </c>
      <c r="L47" s="55" t="s">
        <v>48</v>
      </c>
    </row>
    <row r="48" spans="1:12" x14ac:dyDescent="0.35">
      <c r="A48" s="78">
        <v>47</v>
      </c>
      <c r="B48" s="78">
        <f t="shared" si="0"/>
        <v>2209</v>
      </c>
      <c r="C48" s="34">
        <v>5027.1220000000003</v>
      </c>
      <c r="D48" s="91">
        <f t="shared" si="5"/>
        <v>5132.1618219366228</v>
      </c>
      <c r="E48" s="91">
        <f t="shared" si="2"/>
        <v>105.0398219366225</v>
      </c>
      <c r="F48" s="91">
        <f t="shared" si="3"/>
        <v>105.0398219366225</v>
      </c>
      <c r="G48" s="91">
        <f>SUMSQ($F48:F48)/A48</f>
        <v>234.75242962717792</v>
      </c>
      <c r="H48" s="91">
        <f>SUM($F48:F48)/A48</f>
        <v>2.2348898284387766</v>
      </c>
      <c r="I48" s="121">
        <f t="shared" si="4"/>
        <v>2.0894623591116845</v>
      </c>
      <c r="J48" s="121">
        <f>AVERAGE($I$2:I48)</f>
        <v>7.682015512337049</v>
      </c>
      <c r="K48" s="121">
        <f>SUM($E$2:E48)/H48</f>
        <v>297.36737175722732</v>
      </c>
      <c r="L48" s="54" t="s">
        <v>49</v>
      </c>
    </row>
    <row r="49" spans="1:12" x14ac:dyDescent="0.35">
      <c r="A49" s="79">
        <v>48</v>
      </c>
      <c r="B49" s="79">
        <f t="shared" si="0"/>
        <v>2304</v>
      </c>
      <c r="C49" s="50">
        <v>5410.277</v>
      </c>
      <c r="D49" s="91">
        <f t="shared" si="5"/>
        <v>5218.5410566094934</v>
      </c>
      <c r="E49" s="91">
        <f t="shared" si="2"/>
        <v>-191.73594339050669</v>
      </c>
      <c r="F49" s="91">
        <f t="shared" si="3"/>
        <v>191.73594339050669</v>
      </c>
      <c r="G49" s="91">
        <f>SUMSQ($F49:F49)/A49</f>
        <v>765.88899974682465</v>
      </c>
      <c r="H49" s="91">
        <f>SUM($F49:F49)/A49</f>
        <v>3.9944988206355561</v>
      </c>
      <c r="I49" s="121">
        <f t="shared" si="4"/>
        <v>3.543921011632245</v>
      </c>
      <c r="J49" s="121">
        <f>AVERAGE($I$2:I49)</f>
        <v>7.5958052102390319</v>
      </c>
      <c r="K49" s="121">
        <f>SUM($E$2:E49)/H49</f>
        <v>118.37464280038498</v>
      </c>
      <c r="L49" s="55" t="s">
        <v>50</v>
      </c>
    </row>
    <row r="50" spans="1:12" x14ac:dyDescent="0.35">
      <c r="A50" s="78">
        <v>49</v>
      </c>
      <c r="B50" s="78">
        <f t="shared" si="0"/>
        <v>2401</v>
      </c>
      <c r="C50" s="34">
        <v>5386.6620000000003</v>
      </c>
      <c r="D50" s="91">
        <f t="shared" si="5"/>
        <v>5306.9002860999399</v>
      </c>
      <c r="E50" s="91">
        <f t="shared" si="2"/>
        <v>-79.761713900060386</v>
      </c>
      <c r="F50" s="91">
        <f t="shared" si="3"/>
        <v>79.761713900060386</v>
      </c>
      <c r="G50" s="91">
        <f>SUMSQ($F50:F50)/A50</f>
        <v>129.8353266178589</v>
      </c>
      <c r="H50" s="91">
        <f>SUM($F50:F50)/A50</f>
        <v>1.6277900795930691</v>
      </c>
      <c r="I50" s="121">
        <f t="shared" si="4"/>
        <v>1.4807261695658718</v>
      </c>
      <c r="J50" s="121">
        <f>AVERAGE($I$2:I50)</f>
        <v>7.4710076787967221</v>
      </c>
      <c r="K50" s="121">
        <f>SUM($E$2:E50)/H50</f>
        <v>241.48424424450357</v>
      </c>
      <c r="L50" s="54" t="s">
        <v>51</v>
      </c>
    </row>
    <row r="51" spans="1:12" x14ac:dyDescent="0.35">
      <c r="A51" s="79">
        <v>50</v>
      </c>
      <c r="B51" s="79">
        <f t="shared" si="0"/>
        <v>2500</v>
      </c>
      <c r="C51" s="50">
        <v>5543.451</v>
      </c>
      <c r="D51" s="91">
        <f t="shared" si="5"/>
        <v>5397.2395104079624</v>
      </c>
      <c r="E51" s="91">
        <f t="shared" si="2"/>
        <v>-146.21148959203765</v>
      </c>
      <c r="F51" s="91">
        <f t="shared" si="3"/>
        <v>146.21148959203765</v>
      </c>
      <c r="G51" s="91">
        <f>SUMSQ($F51:F51)/A51</f>
        <v>427.55599377445071</v>
      </c>
      <c r="H51" s="91">
        <f>SUM($F51:F51)/A51</f>
        <v>2.9242297918407529</v>
      </c>
      <c r="I51" s="121">
        <f t="shared" si="4"/>
        <v>2.6375535671197898</v>
      </c>
      <c r="J51" s="121">
        <f>AVERAGE($I$2:I51)</f>
        <v>7.3743385965631827</v>
      </c>
      <c r="K51" s="121">
        <f>SUM($E$2:E51)/H51</f>
        <v>84.423655164183202</v>
      </c>
      <c r="L51" s="55" t="s">
        <v>52</v>
      </c>
    </row>
    <row r="52" spans="1:12" x14ac:dyDescent="0.35">
      <c r="A52" s="78">
        <v>51</v>
      </c>
      <c r="B52" s="78">
        <f t="shared" si="0"/>
        <v>2601</v>
      </c>
      <c r="C52" s="34">
        <v>5764.6930000000002</v>
      </c>
      <c r="D52" s="91">
        <f t="shared" si="5"/>
        <v>5489.5587295335617</v>
      </c>
      <c r="E52" s="91">
        <f t="shared" si="2"/>
        <v>-275.13427046643847</v>
      </c>
      <c r="F52" s="91">
        <f t="shared" si="3"/>
        <v>275.13427046643847</v>
      </c>
      <c r="G52" s="91">
        <f>SUMSQ($F52:F52)/A52</f>
        <v>1484.2915055901824</v>
      </c>
      <c r="H52" s="91">
        <f>SUM($F52:F52)/A52</f>
        <v>5.39478961698899</v>
      </c>
      <c r="I52" s="121">
        <f t="shared" si="4"/>
        <v>4.7727480104567315</v>
      </c>
      <c r="J52" s="121">
        <f>AVERAGE($I$2:I52)</f>
        <v>7.3233270164434483</v>
      </c>
      <c r="K52" s="121">
        <f>SUM($E$2:E52)/H52</f>
        <v>-5.2384068528359808</v>
      </c>
      <c r="L52" s="54" t="s">
        <v>53</v>
      </c>
    </row>
    <row r="53" spans="1:12" x14ac:dyDescent="0.35">
      <c r="A53" s="79">
        <v>52</v>
      </c>
      <c r="B53" s="79">
        <f t="shared" si="0"/>
        <v>2704</v>
      </c>
      <c r="C53" s="50">
        <v>6170.3580000000002</v>
      </c>
      <c r="D53" s="91">
        <f t="shared" si="5"/>
        <v>5583.8579434767371</v>
      </c>
      <c r="E53" s="91">
        <f t="shared" si="2"/>
        <v>-586.50005652326308</v>
      </c>
      <c r="F53" s="91">
        <f t="shared" si="3"/>
        <v>586.50005652326308</v>
      </c>
      <c r="G53" s="91">
        <f>SUMSQ($F53:F53)/A53</f>
        <v>6615.0445442652072</v>
      </c>
      <c r="H53" s="91">
        <f>SUM($F53:F53)/A53</f>
        <v>11.278847240831983</v>
      </c>
      <c r="I53" s="121">
        <f t="shared" si="4"/>
        <v>9.5051220127464742</v>
      </c>
      <c r="J53" s="121">
        <f>AVERAGE($I$2:I53)</f>
        <v>7.3652846125261995</v>
      </c>
      <c r="K53" s="121">
        <f>SUM($E$2:E53)/H53</f>
        <v>-54.505584329304106</v>
      </c>
      <c r="L53" s="55" t="s">
        <v>54</v>
      </c>
    </row>
    <row r="54" spans="1:12" x14ac:dyDescent="0.35">
      <c r="A54" s="78">
        <v>53</v>
      </c>
      <c r="B54" s="78">
        <f t="shared" si="0"/>
        <v>2809</v>
      </c>
      <c r="C54" s="34">
        <v>6077.558</v>
      </c>
      <c r="D54" s="91">
        <f t="shared" si="5"/>
        <v>5680.1371522374884</v>
      </c>
      <c r="E54" s="91">
        <f t="shared" si="2"/>
        <v>-397.42084776251158</v>
      </c>
      <c r="F54" s="91">
        <f t="shared" si="3"/>
        <v>397.42084776251158</v>
      </c>
      <c r="G54" s="91">
        <f>SUMSQ($F54:F54)/A54</f>
        <v>2980.0628346466683</v>
      </c>
      <c r="H54" s="91">
        <f>SUM($F54:F54)/A54</f>
        <v>7.4985065615568223</v>
      </c>
      <c r="I54" s="121">
        <f t="shared" si="4"/>
        <v>6.5391535179509868</v>
      </c>
      <c r="J54" s="121">
        <f>AVERAGE($I$2:I54)</f>
        <v>7.3496972333832709</v>
      </c>
      <c r="K54" s="121">
        <f>SUM($E$2:E54)/H54</f>
        <v>-134.98434639962116</v>
      </c>
      <c r="L54" s="54" t="s">
        <v>55</v>
      </c>
    </row>
    <row r="55" spans="1:12" x14ac:dyDescent="0.35">
      <c r="A55" s="79">
        <v>54</v>
      </c>
      <c r="B55" s="79">
        <f t="shared" si="0"/>
        <v>2916</v>
      </c>
      <c r="C55" s="50">
        <v>6345.5069999999996</v>
      </c>
      <c r="D55" s="91">
        <f t="shared" si="5"/>
        <v>5778.3963558158175</v>
      </c>
      <c r="E55" s="91">
        <f t="shared" si="2"/>
        <v>-567.11064418418209</v>
      </c>
      <c r="F55" s="91">
        <f t="shared" si="3"/>
        <v>567.11064418418209</v>
      </c>
      <c r="G55" s="91">
        <f>SUMSQ($F55:F55)/A55</f>
        <v>5955.8237545740367</v>
      </c>
      <c r="H55" s="91">
        <f>SUM($F55:F55)/A55</f>
        <v>10.502048966373742</v>
      </c>
      <c r="I55" s="121">
        <f t="shared" si="4"/>
        <v>8.9371998830697397</v>
      </c>
      <c r="J55" s="121">
        <f>AVERAGE($I$2:I55)</f>
        <v>7.379095430599687</v>
      </c>
      <c r="K55" s="121">
        <f>SUM($E$2:E55)/H55</f>
        <v>-150.37938372082402</v>
      </c>
      <c r="L55" s="55" t="s">
        <v>56</v>
      </c>
    </row>
    <row r="56" spans="1:12" x14ac:dyDescent="0.35">
      <c r="A56" s="78">
        <v>55</v>
      </c>
      <c r="B56" s="78">
        <f t="shared" si="0"/>
        <v>3025</v>
      </c>
      <c r="C56" s="34">
        <v>6394.8150000000005</v>
      </c>
      <c r="D56" s="91">
        <f t="shared" si="5"/>
        <v>5878.6355542117217</v>
      </c>
      <c r="E56" s="91">
        <f t="shared" si="2"/>
        <v>-516.17944578827883</v>
      </c>
      <c r="F56" s="91">
        <f t="shared" si="3"/>
        <v>516.17944578827883</v>
      </c>
      <c r="G56" s="91">
        <f>SUMSQ($F56:F56)/A56</f>
        <v>4844.3858228053577</v>
      </c>
      <c r="H56" s="91">
        <f>SUM($F56:F56)/A56</f>
        <v>9.385080832514161</v>
      </c>
      <c r="I56" s="121">
        <f t="shared" si="4"/>
        <v>8.071843294736107</v>
      </c>
      <c r="J56" s="121">
        <f>AVERAGE($I$2:I56)</f>
        <v>7.3916908463112581</v>
      </c>
      <c r="K56" s="121">
        <f>SUM($E$2:E56)/H56</f>
        <v>-223.27682995524347</v>
      </c>
      <c r="L56" s="54" t="s">
        <v>57</v>
      </c>
    </row>
    <row r="57" spans="1:12" x14ac:dyDescent="0.35">
      <c r="A57" s="79">
        <v>56</v>
      </c>
      <c r="B57" s="79">
        <f t="shared" si="0"/>
        <v>3136</v>
      </c>
      <c r="C57" s="50">
        <v>5744.5879999999997</v>
      </c>
      <c r="D57" s="91">
        <f t="shared" si="5"/>
        <v>5980.8547474252027</v>
      </c>
      <c r="E57" s="91">
        <f t="shared" si="2"/>
        <v>236.26674742520299</v>
      </c>
      <c r="F57" s="91">
        <f t="shared" si="3"/>
        <v>236.26674742520299</v>
      </c>
      <c r="G57" s="91">
        <f>SUMSQ($F57:F57)/A57</f>
        <v>996.8209989086547</v>
      </c>
      <c r="H57" s="91">
        <f>SUM($F57:F57)/A57</f>
        <v>4.2190490611643394</v>
      </c>
      <c r="I57" s="121">
        <f t="shared" si="4"/>
        <v>4.112858005225144</v>
      </c>
      <c r="J57" s="121">
        <f>AVERAGE($I$2:I57)</f>
        <v>7.3331402598632911</v>
      </c>
      <c r="K57" s="121">
        <f>SUM($E$2:E57)/H57</f>
        <v>-440.66905190696878</v>
      </c>
      <c r="L57" s="55" t="s">
        <v>58</v>
      </c>
    </row>
    <row r="58" spans="1:12" x14ac:dyDescent="0.35">
      <c r="A58" s="78">
        <v>57</v>
      </c>
      <c r="B58" s="78">
        <f t="shared" si="0"/>
        <v>3249</v>
      </c>
      <c r="C58" s="34">
        <v>6680.277</v>
      </c>
      <c r="D58" s="91">
        <f t="shared" si="5"/>
        <v>6085.0539354562588</v>
      </c>
      <c r="E58" s="91">
        <f t="shared" si="2"/>
        <v>-595.2230645437412</v>
      </c>
      <c r="F58" s="91">
        <f t="shared" si="3"/>
        <v>595.2230645437412</v>
      </c>
      <c r="G58" s="91">
        <f>SUMSQ($F58:F58)/A58</f>
        <v>6215.6227467516264</v>
      </c>
      <c r="H58" s="91">
        <f>SUM($F58:F58)/A58</f>
        <v>10.442509904276161</v>
      </c>
      <c r="I58" s="121">
        <f t="shared" si="4"/>
        <v>8.9101554403169381</v>
      </c>
      <c r="J58" s="121">
        <f>AVERAGE($I$2:I58)</f>
        <v>7.3608071928537058</v>
      </c>
      <c r="K58" s="121">
        <f>SUM($E$2:E58)/H58</f>
        <v>-235.04190436735331</v>
      </c>
      <c r="L58" s="54" t="s">
        <v>59</v>
      </c>
    </row>
    <row r="59" spans="1:12" x14ac:dyDescent="0.35">
      <c r="A59" s="79">
        <v>58</v>
      </c>
      <c r="B59" s="79">
        <f t="shared" si="0"/>
        <v>3364</v>
      </c>
      <c r="C59" s="50">
        <v>4965.5910000000003</v>
      </c>
      <c r="D59" s="91">
        <f t="shared" si="5"/>
        <v>6191.2331183048937</v>
      </c>
      <c r="E59" s="91">
        <f t="shared" si="2"/>
        <v>1225.6421183048933</v>
      </c>
      <c r="F59" s="91">
        <f t="shared" si="3"/>
        <v>1225.6421183048933</v>
      </c>
      <c r="G59" s="91">
        <f>SUMSQ($F59:F59)/A59</f>
        <v>25899.975899360448</v>
      </c>
      <c r="H59" s="91">
        <f>SUM($F59:F59)/A59</f>
        <v>21.131760660429194</v>
      </c>
      <c r="I59" s="121">
        <f t="shared" si="4"/>
        <v>24.682703797088671</v>
      </c>
      <c r="J59" s="121">
        <f>AVERAGE($I$2:I59)</f>
        <v>7.6594605825818949</v>
      </c>
      <c r="K59" s="121">
        <f>SUM($E$2:E59)/H59</f>
        <v>-58.148741873274979</v>
      </c>
      <c r="L59" s="55" t="s">
        <v>60</v>
      </c>
    </row>
    <row r="60" spans="1:12" x14ac:dyDescent="0.35">
      <c r="A60" s="78">
        <v>59</v>
      </c>
      <c r="B60" s="78">
        <f t="shared" si="0"/>
        <v>3481</v>
      </c>
      <c r="C60" s="34">
        <v>5070.607</v>
      </c>
      <c r="D60" s="91">
        <f t="shared" si="5"/>
        <v>6299.3922959711035</v>
      </c>
      <c r="E60" s="91">
        <f t="shared" si="2"/>
        <v>1228.7852959711036</v>
      </c>
      <c r="F60" s="91">
        <f t="shared" si="3"/>
        <v>1228.7852959711036</v>
      </c>
      <c r="G60" s="91">
        <f>SUMSQ($F60:F60)/A60</f>
        <v>25591.750908386315</v>
      </c>
      <c r="H60" s="120">
        <f>SUM($F60:F60)/A60</f>
        <v>20.826869423239042</v>
      </c>
      <c r="I60" s="121">
        <f t="shared" si="4"/>
        <v>24.233495042528507</v>
      </c>
      <c r="J60" s="121">
        <f>AVERAGE($I$2:I60)</f>
        <v>7.9403764208860741</v>
      </c>
      <c r="K60" s="121">
        <f>SUM($E$2:E60)/H60</f>
        <v>-9.825591342622599E-13</v>
      </c>
      <c r="L60" s="54" t="s">
        <v>61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6F8A-2637-4EE4-A0F4-9B6ECE3E31DF}">
  <dimension ref="A1:T69"/>
  <sheetViews>
    <sheetView workbookViewId="0">
      <pane ySplit="1" topLeftCell="A67" activePane="bottomLeft" state="frozen"/>
      <selection pane="bottomLeft" activeCell="O72" sqref="O72"/>
    </sheetView>
  </sheetViews>
  <sheetFormatPr baseColWidth="10" defaultRowHeight="14.5" x14ac:dyDescent="0.35"/>
  <cols>
    <col min="4" max="4" width="13.36328125" customWidth="1"/>
    <col min="7" max="7" width="17.1796875" customWidth="1"/>
    <col min="8" max="8" width="21.26953125" customWidth="1"/>
    <col min="15" max="15" width="21.7265625" customWidth="1"/>
  </cols>
  <sheetData>
    <row r="1" spans="1:20" x14ac:dyDescent="0.35">
      <c r="A1" s="122" t="s">
        <v>1088</v>
      </c>
      <c r="B1" s="122" t="s">
        <v>1292</v>
      </c>
      <c r="C1" s="122" t="s">
        <v>1296</v>
      </c>
      <c r="D1" s="122" t="s">
        <v>1290</v>
      </c>
      <c r="E1" s="122" t="s">
        <v>1291</v>
      </c>
      <c r="F1" s="122" t="s">
        <v>1264</v>
      </c>
      <c r="G1" s="123" t="s">
        <v>1265</v>
      </c>
      <c r="H1" s="123" t="s">
        <v>1266</v>
      </c>
      <c r="I1" s="122" t="s">
        <v>1253</v>
      </c>
      <c r="J1" s="122" t="s">
        <v>1254</v>
      </c>
      <c r="K1" s="122" t="s">
        <v>1267</v>
      </c>
      <c r="L1" s="122" t="s">
        <v>1256</v>
      </c>
      <c r="M1" s="122" t="s">
        <v>1271</v>
      </c>
      <c r="O1" s="58"/>
      <c r="P1" s="58" t="s">
        <v>1222</v>
      </c>
    </row>
    <row r="2" spans="1:20" x14ac:dyDescent="0.35">
      <c r="A2" s="78">
        <v>1</v>
      </c>
      <c r="B2" s="92">
        <f>POWER(A2,2)</f>
        <v>1</v>
      </c>
      <c r="C2" s="92">
        <f>POWER(A2,3)</f>
        <v>1</v>
      </c>
      <c r="D2" s="34">
        <v>3223.5839999999998</v>
      </c>
      <c r="E2" s="91">
        <f>($P$5*POWER(A2,3))+($P$4*POWER(A2,2))+($P$3*A2)+$P$2</f>
        <v>3635.9447768914279</v>
      </c>
      <c r="F2" s="91">
        <f>E2-D2</f>
        <v>412.36077689142803</v>
      </c>
      <c r="G2" s="91">
        <f>ABS(F2)</f>
        <v>412.36077689142803</v>
      </c>
      <c r="H2" s="91">
        <f>SUMSQ($G2:G2)/A2</f>
        <v>170041.41031850208</v>
      </c>
      <c r="I2" s="91">
        <f>SUM($G$2:G2)/A2</f>
        <v>412.36077689142803</v>
      </c>
      <c r="J2" s="91">
        <f>(G2/D2)*100</f>
        <v>12.791997258065186</v>
      </c>
      <c r="K2" s="91">
        <f>AVERAGE($J$2:J2)</f>
        <v>12.791997258065186</v>
      </c>
      <c r="L2" s="91">
        <f>SUM($F2:F2)/I2</f>
        <v>1</v>
      </c>
      <c r="M2" s="124" t="s">
        <v>3</v>
      </c>
      <c r="O2" t="s">
        <v>1216</v>
      </c>
      <c r="P2">
        <v>3718.6509255590731</v>
      </c>
    </row>
    <row r="3" spans="1:20" x14ac:dyDescent="0.35">
      <c r="A3" s="79">
        <v>2</v>
      </c>
      <c r="B3" s="92">
        <f t="shared" ref="B3:B60" si="0">POWER(A3,2)</f>
        <v>4</v>
      </c>
      <c r="C3" s="92">
        <f t="shared" ref="C3:C60" si="1">POWER(A3,3)</f>
        <v>8</v>
      </c>
      <c r="D3" s="50">
        <v>3472.9369999999999</v>
      </c>
      <c r="E3" s="91">
        <f t="shared" ref="E3:E60" si="2">($P$5*POWER(A3,3))+($P$4*POWER(A3,2))+($P$3*A3)+$P$2</f>
        <v>3561.5504529681775</v>
      </c>
      <c r="F3" s="91">
        <f t="shared" ref="F3:F60" si="3">E3-D3</f>
        <v>88.613452968177626</v>
      </c>
      <c r="G3" s="91">
        <f t="shared" ref="G3:G60" si="4">ABS(F3)</f>
        <v>88.613452968177626</v>
      </c>
      <c r="H3" s="91">
        <f>SUMSQ($G3:G3)/A3</f>
        <v>3926.1720234717141</v>
      </c>
      <c r="I3" s="91">
        <f>SUM($G$2:G3)/A3</f>
        <v>250.48711492980283</v>
      </c>
      <c r="J3" s="91">
        <f t="shared" ref="J3:J60" si="5">(G3/D3)*100</f>
        <v>2.5515421952133779</v>
      </c>
      <c r="K3" s="91">
        <f>AVERAGE($J$2:J3)</f>
        <v>7.6717697266392815</v>
      </c>
      <c r="L3" s="91">
        <f>SUM($F3:F3)/I3</f>
        <v>0.3537645159632698</v>
      </c>
      <c r="M3" s="125" t="s">
        <v>4</v>
      </c>
      <c r="O3" t="s">
        <v>1088</v>
      </c>
      <c r="P3">
        <v>-86.934840694174241</v>
      </c>
    </row>
    <row r="4" spans="1:20" x14ac:dyDescent="0.35">
      <c r="A4" s="78">
        <v>3</v>
      </c>
      <c r="B4" s="92">
        <f t="shared" si="0"/>
        <v>9</v>
      </c>
      <c r="C4" s="92">
        <f t="shared" si="1"/>
        <v>27</v>
      </c>
      <c r="D4" s="34">
        <v>3369.4650000000001</v>
      </c>
      <c r="E4" s="91">
        <f t="shared" si="2"/>
        <v>3495.2496148263294</v>
      </c>
      <c r="F4" s="91">
        <f t="shared" si="3"/>
        <v>125.78461482632929</v>
      </c>
      <c r="G4" s="91">
        <f t="shared" si="4"/>
        <v>125.78461482632929</v>
      </c>
      <c r="H4" s="91">
        <f>SUMSQ($G4:G4)/A4</f>
        <v>5273.9231090026724</v>
      </c>
      <c r="I4" s="91">
        <f>SUM($G$2:G4)/A4</f>
        <v>208.91961489531164</v>
      </c>
      <c r="J4" s="91">
        <f t="shared" si="5"/>
        <v>3.7330737914276977</v>
      </c>
      <c r="K4" s="91">
        <f>AVERAGE($J$2:J4)</f>
        <v>6.3588710815687532</v>
      </c>
      <c r="L4" s="91">
        <f>SUM($F4:F4)/I4</f>
        <v>0.60207182982487883</v>
      </c>
      <c r="M4" s="124" t="s">
        <v>5</v>
      </c>
      <c r="O4" t="s">
        <v>1293</v>
      </c>
      <c r="P4">
        <v>4.2650818536945305</v>
      </c>
    </row>
    <row r="5" spans="1:20" ht="15" thickBot="1" x14ac:dyDescent="0.4">
      <c r="A5" s="79">
        <v>4</v>
      </c>
      <c r="B5" s="92">
        <f t="shared" si="0"/>
        <v>16</v>
      </c>
      <c r="C5" s="92">
        <f t="shared" si="1"/>
        <v>64</v>
      </c>
      <c r="D5" s="50">
        <v>3601.0940000000001</v>
      </c>
      <c r="E5" s="91">
        <f t="shared" si="2"/>
        <v>3436.8239235028886</v>
      </c>
      <c r="F5" s="91">
        <f t="shared" si="3"/>
        <v>-164.2700764971114</v>
      </c>
      <c r="G5" s="91">
        <f t="shared" si="4"/>
        <v>164.2700764971114</v>
      </c>
      <c r="H5" s="91">
        <f>SUMSQ($G5:G5)/A5</f>
        <v>6746.1645080917078</v>
      </c>
      <c r="I5" s="91">
        <f>SUM($G$2:G5)/A5</f>
        <v>197.75723029576159</v>
      </c>
      <c r="J5" s="91">
        <f t="shared" si="5"/>
        <v>4.5616714392101789</v>
      </c>
      <c r="K5" s="91">
        <f>AVERAGE($J$2:J5)</f>
        <v>5.9095711709791097</v>
      </c>
      <c r="L5" s="91">
        <f>SUM($F5:F5)/I5</f>
        <v>-0.83066533775494578</v>
      </c>
      <c r="M5" s="125" t="s">
        <v>6</v>
      </c>
      <c r="O5" s="57" t="s">
        <v>1296</v>
      </c>
      <c r="P5" s="57">
        <v>-3.6389827165626075E-2</v>
      </c>
    </row>
    <row r="6" spans="1:20" x14ac:dyDescent="0.35">
      <c r="A6" s="78">
        <v>5</v>
      </c>
      <c r="B6" s="92">
        <f t="shared" si="0"/>
        <v>25</v>
      </c>
      <c r="C6" s="92">
        <f t="shared" si="1"/>
        <v>125</v>
      </c>
      <c r="D6" s="34">
        <v>3627.9300000000003</v>
      </c>
      <c r="E6" s="91">
        <f t="shared" si="2"/>
        <v>3386.055040034862</v>
      </c>
      <c r="F6" s="91">
        <f t="shared" si="3"/>
        <v>-241.87495996513826</v>
      </c>
      <c r="G6" s="91">
        <f t="shared" si="4"/>
        <v>241.87495996513826</v>
      </c>
      <c r="H6" s="91">
        <f>SUMSQ($G6:G6)/A6</f>
        <v>11700.699251627448</v>
      </c>
      <c r="I6" s="91">
        <f>SUM($G$2:G6)/A6</f>
        <v>206.58077622963691</v>
      </c>
      <c r="J6" s="91">
        <f t="shared" si="5"/>
        <v>6.6670238942079436</v>
      </c>
      <c r="K6" s="91">
        <f>AVERAGE($J$2:J6)</f>
        <v>6.0610617156248763</v>
      </c>
      <c r="L6" s="91">
        <f>SUM($F6:F6)/I6</f>
        <v>-1.1708493131823072</v>
      </c>
      <c r="M6" s="124" t="s">
        <v>7</v>
      </c>
    </row>
    <row r="7" spans="1:20" x14ac:dyDescent="0.35">
      <c r="A7" s="79">
        <v>6</v>
      </c>
      <c r="B7" s="92">
        <f t="shared" si="0"/>
        <v>36</v>
      </c>
      <c r="C7" s="92">
        <f t="shared" si="1"/>
        <v>216</v>
      </c>
      <c r="D7" s="50">
        <v>3789.5219999999999</v>
      </c>
      <c r="E7" s="91">
        <f t="shared" si="2"/>
        <v>3342.7246254592555</v>
      </c>
      <c r="F7" s="91">
        <f t="shared" si="3"/>
        <v>-446.79737454074439</v>
      </c>
      <c r="G7" s="91">
        <f t="shared" si="4"/>
        <v>446.79737454074439</v>
      </c>
      <c r="H7" s="91">
        <f>SUMSQ($G7:G7)/A7</f>
        <v>33271.315649417033</v>
      </c>
      <c r="I7" s="91">
        <f>SUM($G$2:G7)/A7</f>
        <v>246.61687594815484</v>
      </c>
      <c r="J7" s="91">
        <f>(G7/D7)*100</f>
        <v>11.790335945819667</v>
      </c>
      <c r="K7" s="91">
        <f>AVERAGE($J$2:J7)</f>
        <v>7.015940753990674</v>
      </c>
      <c r="L7" s="91">
        <f>SUM($F7:F7)/I7</f>
        <v>-1.8117064082616656</v>
      </c>
      <c r="M7" s="125" t="s">
        <v>8</v>
      </c>
      <c r="O7" s="66" t="s">
        <v>1257</v>
      </c>
      <c r="P7" s="66" t="s">
        <v>1253</v>
      </c>
      <c r="Q7" s="66" t="s">
        <v>1258</v>
      </c>
      <c r="R7" s="66" t="s">
        <v>1259</v>
      </c>
      <c r="S7" s="66" t="s">
        <v>1260</v>
      </c>
      <c r="T7" s="66" t="s">
        <v>1261</v>
      </c>
    </row>
    <row r="8" spans="1:20" x14ac:dyDescent="0.35">
      <c r="A8" s="78">
        <v>7</v>
      </c>
      <c r="B8" s="92">
        <f t="shared" si="0"/>
        <v>49</v>
      </c>
      <c r="C8" s="92">
        <f t="shared" si="1"/>
        <v>343</v>
      </c>
      <c r="D8" s="34">
        <v>3793.3879999999999</v>
      </c>
      <c r="E8" s="91">
        <f t="shared" si="2"/>
        <v>3306.6143408130756</v>
      </c>
      <c r="F8" s="91">
        <f t="shared" si="3"/>
        <v>-486.77365918692431</v>
      </c>
      <c r="G8" s="91">
        <f t="shared" si="4"/>
        <v>486.77365918692431</v>
      </c>
      <c r="H8" s="91">
        <f>SUMSQ($G8:G8)/A8</f>
        <v>33849.799325461136</v>
      </c>
      <c r="I8" s="91">
        <f>SUM($G$2:G8)/A8</f>
        <v>280.92498783940761</v>
      </c>
      <c r="J8" s="91">
        <f t="shared" si="5"/>
        <v>12.832161096806452</v>
      </c>
      <c r="K8" s="91">
        <f>AVERAGE($J$2:J8)</f>
        <v>7.8468293743929278</v>
      </c>
      <c r="L8" s="91">
        <f>SUM($F8:F8)/I8</f>
        <v>-1.732753155675818</v>
      </c>
      <c r="M8" s="124" t="s">
        <v>9</v>
      </c>
      <c r="O8" s="66" t="s">
        <v>1300</v>
      </c>
      <c r="P8" s="91">
        <f>I60</f>
        <v>287.00241161542124</v>
      </c>
      <c r="Q8" s="91">
        <f>K60</f>
        <v>7.0702961689073343</v>
      </c>
      <c r="R8" s="126">
        <f>MIN(L2:L60)</f>
        <v>-3.0187995531590257</v>
      </c>
      <c r="S8" s="127">
        <f>MAX(L2:L60)</f>
        <v>3.4655732006169169</v>
      </c>
      <c r="T8" s="93">
        <f>1.25*P8</f>
        <v>358.75301451927658</v>
      </c>
    </row>
    <row r="9" spans="1:20" x14ac:dyDescent="0.35">
      <c r="A9" s="79">
        <v>8</v>
      </c>
      <c r="B9" s="92">
        <f t="shared" si="0"/>
        <v>64</v>
      </c>
      <c r="C9" s="92">
        <f t="shared" si="1"/>
        <v>512</v>
      </c>
      <c r="D9" s="50">
        <v>3092.6509999999998</v>
      </c>
      <c r="E9" s="91">
        <f t="shared" si="2"/>
        <v>3277.5058471333286</v>
      </c>
      <c r="F9" s="91">
        <f t="shared" si="3"/>
        <v>184.8548471333288</v>
      </c>
      <c r="G9" s="91">
        <f t="shared" si="4"/>
        <v>184.8548471333288</v>
      </c>
      <c r="H9" s="91">
        <f>SUMSQ($G9:G9)/A9</f>
        <v>4271.4143135857948</v>
      </c>
      <c r="I9" s="91">
        <f>SUM($G$2:G9)/A9</f>
        <v>268.91622025114776</v>
      </c>
      <c r="J9" s="91">
        <f t="shared" si="5"/>
        <v>5.9772294750791088</v>
      </c>
      <c r="K9" s="91">
        <f>AVERAGE($J$2:J9)</f>
        <v>7.6131293869787005</v>
      </c>
      <c r="L9" s="91">
        <f>SUM($F9:F9)/I9</f>
        <v>0.68740683236097888</v>
      </c>
      <c r="M9" s="125" t="s">
        <v>10</v>
      </c>
    </row>
    <row r="10" spans="1:20" x14ac:dyDescent="0.35">
      <c r="A10" s="78">
        <v>9</v>
      </c>
      <c r="B10" s="92">
        <f t="shared" si="0"/>
        <v>81</v>
      </c>
      <c r="C10" s="92">
        <f t="shared" si="1"/>
        <v>729</v>
      </c>
      <c r="D10" s="34">
        <v>3167.471</v>
      </c>
      <c r="E10" s="91">
        <f t="shared" si="2"/>
        <v>3255.1808054570206</v>
      </c>
      <c r="F10" s="91">
        <f t="shared" si="3"/>
        <v>87.709805457020593</v>
      </c>
      <c r="G10" s="91">
        <f t="shared" si="4"/>
        <v>87.709805457020593</v>
      </c>
      <c r="H10" s="91">
        <f>SUMSQ($G10:G10)/A10</f>
        <v>854.77888592315549</v>
      </c>
      <c r="I10" s="91">
        <f>SUM($G$2:G10)/A10</f>
        <v>248.78217416291142</v>
      </c>
      <c r="J10" s="91">
        <f t="shared" si="5"/>
        <v>2.7690799839057907</v>
      </c>
      <c r="K10" s="91">
        <f>AVERAGE($J$2:J10)</f>
        <v>7.0749016755261547</v>
      </c>
      <c r="L10" s="91">
        <f>SUM($F10:F10)/I10</f>
        <v>0.35255663213066502</v>
      </c>
      <c r="M10" s="124" t="s">
        <v>11</v>
      </c>
    </row>
    <row r="11" spans="1:20" x14ac:dyDescent="0.35">
      <c r="A11" s="79">
        <v>10</v>
      </c>
      <c r="B11" s="92">
        <f t="shared" si="0"/>
        <v>100</v>
      </c>
      <c r="C11" s="92">
        <f t="shared" si="1"/>
        <v>1000</v>
      </c>
      <c r="D11" s="50">
        <v>3291.1210000000001</v>
      </c>
      <c r="E11" s="91">
        <f t="shared" si="2"/>
        <v>3239.4208768211579</v>
      </c>
      <c r="F11" s="91">
        <f t="shared" si="3"/>
        <v>-51.700123178842205</v>
      </c>
      <c r="G11" s="91">
        <f t="shared" si="4"/>
        <v>51.700123178842205</v>
      </c>
      <c r="H11" s="91">
        <f>SUMSQ($G11:G11)/A11</f>
        <v>267.29027367074571</v>
      </c>
      <c r="I11" s="91">
        <f>SUM($G$2:G11)/A11</f>
        <v>229.0739690645045</v>
      </c>
      <c r="J11" s="91">
        <f t="shared" si="5"/>
        <v>1.5708970645212439</v>
      </c>
      <c r="K11" s="91">
        <f>AVERAGE($J$2:J11)</f>
        <v>6.5245012144256638</v>
      </c>
      <c r="L11" s="91">
        <f>SUM($F11:F11)/I11</f>
        <v>-0.22569182954298952</v>
      </c>
      <c r="M11" s="125" t="s">
        <v>12</v>
      </c>
    </row>
    <row r="12" spans="1:20" x14ac:dyDescent="0.35">
      <c r="A12" s="78">
        <v>11</v>
      </c>
      <c r="B12" s="92">
        <f t="shared" si="0"/>
        <v>121</v>
      </c>
      <c r="C12" s="92">
        <f t="shared" si="1"/>
        <v>1331</v>
      </c>
      <c r="D12" s="34">
        <v>3312.029</v>
      </c>
      <c r="E12" s="91">
        <f t="shared" si="2"/>
        <v>3230.0077222627465</v>
      </c>
      <c r="F12" s="91">
        <f t="shared" si="3"/>
        <v>-82.021277737253513</v>
      </c>
      <c r="G12" s="91">
        <f t="shared" si="4"/>
        <v>82.021277737253513</v>
      </c>
      <c r="H12" s="91">
        <f>SUMSQ($G12:G12)/A12</f>
        <v>611.5900001501526</v>
      </c>
      <c r="I12" s="91">
        <f>SUM($G$2:G12)/A12</f>
        <v>215.70554258020894</v>
      </c>
      <c r="J12" s="91">
        <f t="shared" si="5"/>
        <v>2.4764661703521771</v>
      </c>
      <c r="K12" s="91">
        <f>AVERAGE($J$2:J12)</f>
        <v>6.1564980286008018</v>
      </c>
      <c r="L12" s="91">
        <f>SUM($F12:F12)/I12</f>
        <v>-0.38024650065148113</v>
      </c>
      <c r="M12" s="124" t="s">
        <v>13</v>
      </c>
    </row>
    <row r="13" spans="1:20" x14ac:dyDescent="0.35">
      <c r="A13" s="79">
        <v>12</v>
      </c>
      <c r="B13" s="92">
        <f t="shared" si="0"/>
        <v>144</v>
      </c>
      <c r="C13" s="92">
        <f t="shared" si="1"/>
        <v>1728</v>
      </c>
      <c r="D13" s="50">
        <v>2360.7350000000001</v>
      </c>
      <c r="E13" s="91">
        <f t="shared" si="2"/>
        <v>3226.7230028187928</v>
      </c>
      <c r="F13" s="91">
        <f t="shared" si="3"/>
        <v>865.98800281879267</v>
      </c>
      <c r="G13" s="91">
        <f t="shared" si="4"/>
        <v>865.98800281879267</v>
      </c>
      <c r="H13" s="91">
        <f>SUMSQ($G13:G13)/A13</f>
        <v>62494.601752173439</v>
      </c>
      <c r="I13" s="91">
        <f>SUM($G$2:G13)/A13</f>
        <v>269.89574760009094</v>
      </c>
      <c r="J13" s="91">
        <f t="shared" si="5"/>
        <v>36.682982326215885</v>
      </c>
      <c r="K13" s="91">
        <f>AVERAGE($J$2:J13)</f>
        <v>8.7003717200687252</v>
      </c>
      <c r="L13" s="91">
        <f>SUM($F13:F13)/I13</f>
        <v>3.2086018787592816</v>
      </c>
      <c r="M13" s="125" t="s">
        <v>14</v>
      </c>
    </row>
    <row r="14" spans="1:20" x14ac:dyDescent="0.35">
      <c r="A14" s="78">
        <v>13</v>
      </c>
      <c r="B14" s="92">
        <f t="shared" si="0"/>
        <v>169</v>
      </c>
      <c r="C14" s="92">
        <f t="shared" si="1"/>
        <v>2197</v>
      </c>
      <c r="D14" s="34">
        <v>2895.9360000000001</v>
      </c>
      <c r="E14" s="91">
        <f t="shared" si="2"/>
        <v>3229.3483795263032</v>
      </c>
      <c r="F14" s="91">
        <f t="shared" si="3"/>
        <v>333.41237952630308</v>
      </c>
      <c r="G14" s="91">
        <f t="shared" si="4"/>
        <v>333.41237952630308</v>
      </c>
      <c r="H14" s="91">
        <f>SUMSQ($G14:G14)/A14</f>
        <v>8551.0626785685818</v>
      </c>
      <c r="I14" s="91">
        <f>SUM($G$2:G14)/A14</f>
        <v>274.78164236364569</v>
      </c>
      <c r="J14" s="91">
        <f t="shared" si="5"/>
        <v>11.513112842490409</v>
      </c>
      <c r="K14" s="91">
        <f>AVERAGE($J$2:J14)</f>
        <v>8.9167364217934715</v>
      </c>
      <c r="L14" s="91">
        <f>SUM($F14:F14)/I14</f>
        <v>1.2133721039670675</v>
      </c>
      <c r="M14" s="124" t="s">
        <v>15</v>
      </c>
    </row>
    <row r="15" spans="1:20" x14ac:dyDescent="0.35">
      <c r="A15" s="79">
        <v>14</v>
      </c>
      <c r="B15" s="92">
        <f t="shared" si="0"/>
        <v>196</v>
      </c>
      <c r="C15" s="92">
        <f t="shared" si="1"/>
        <v>2744</v>
      </c>
      <c r="D15" s="50">
        <v>3115.0299999999997</v>
      </c>
      <c r="E15" s="91">
        <f t="shared" si="2"/>
        <v>3237.6655134222838</v>
      </c>
      <c r="F15" s="91">
        <f t="shared" si="3"/>
        <v>122.63551342228402</v>
      </c>
      <c r="G15" s="91">
        <f t="shared" si="4"/>
        <v>122.63551342228402</v>
      </c>
      <c r="H15" s="91">
        <f>SUMSQ($G15:G15)/A15</f>
        <v>1074.2477965962289</v>
      </c>
      <c r="I15" s="91">
        <f>SUM($G$2:G15)/A15</f>
        <v>263.91406172497699</v>
      </c>
      <c r="J15" s="91">
        <f t="shared" si="5"/>
        <v>3.9368967047599552</v>
      </c>
      <c r="K15" s="91">
        <f>AVERAGE($J$2:J15)</f>
        <v>8.5610335848625052</v>
      </c>
      <c r="L15" s="91">
        <f>SUM($F15:F15)/I15</f>
        <v>0.46467972422811499</v>
      </c>
      <c r="M15" s="125" t="s">
        <v>16</v>
      </c>
    </row>
    <row r="16" spans="1:20" x14ac:dyDescent="0.35">
      <c r="A16" s="78">
        <v>15</v>
      </c>
      <c r="B16" s="92">
        <f t="shared" si="0"/>
        <v>225</v>
      </c>
      <c r="C16" s="92">
        <f t="shared" si="1"/>
        <v>3375</v>
      </c>
      <c r="D16" s="34">
        <v>4035.8679999999999</v>
      </c>
      <c r="E16" s="91">
        <f t="shared" si="2"/>
        <v>3251.4560655437408</v>
      </c>
      <c r="F16" s="91">
        <f t="shared" si="3"/>
        <v>-784.41193445625913</v>
      </c>
      <c r="G16" s="91">
        <f t="shared" si="4"/>
        <v>784.41193445625913</v>
      </c>
      <c r="H16" s="91">
        <f>SUMSQ($G16:G16)/A16</f>
        <v>41020.138861160704</v>
      </c>
      <c r="I16" s="91">
        <f>SUM($G$2:G16)/A16</f>
        <v>298.6139199070625</v>
      </c>
      <c r="J16" s="91">
        <f t="shared" si="5"/>
        <v>19.436015609436659</v>
      </c>
      <c r="K16" s="91">
        <f>AVERAGE($J$2:J16)</f>
        <v>9.2860323865007821</v>
      </c>
      <c r="L16" s="91">
        <f>SUM($F16:F16)/I16</f>
        <v>-2.6268431649147215</v>
      </c>
      <c r="M16" s="124" t="s">
        <v>17</v>
      </c>
    </row>
    <row r="17" spans="1:13" x14ac:dyDescent="0.35">
      <c r="A17" s="79">
        <v>16</v>
      </c>
      <c r="B17" s="92">
        <f t="shared" si="0"/>
        <v>256</v>
      </c>
      <c r="C17" s="92">
        <f t="shared" si="1"/>
        <v>4096</v>
      </c>
      <c r="D17" s="50">
        <v>2831.4769999999999</v>
      </c>
      <c r="E17" s="91">
        <f t="shared" si="2"/>
        <v>3270.5016969276808</v>
      </c>
      <c r="F17" s="91">
        <f t="shared" si="3"/>
        <v>439.02469692768091</v>
      </c>
      <c r="G17" s="91">
        <f t="shared" si="4"/>
        <v>439.02469692768091</v>
      </c>
      <c r="H17" s="91">
        <f>SUMSQ($G17:G17)/A17</f>
        <v>12046.417782027629</v>
      </c>
      <c r="I17" s="91">
        <f>SUM($G$2:G17)/A17</f>
        <v>307.3895934708512</v>
      </c>
      <c r="J17" s="91">
        <f t="shared" si="5"/>
        <v>15.505147911414463</v>
      </c>
      <c r="K17" s="91">
        <f>AVERAGE($J$2:J17)</f>
        <v>9.6747271068078877</v>
      </c>
      <c r="L17" s="91">
        <f>SUM($F17:F17)/I17</f>
        <v>1.4282353933016678</v>
      </c>
      <c r="M17" s="125" t="s">
        <v>18</v>
      </c>
    </row>
    <row r="18" spans="1:13" x14ac:dyDescent="0.35">
      <c r="A18" s="78">
        <v>17</v>
      </c>
      <c r="B18" s="92">
        <f t="shared" si="0"/>
        <v>289</v>
      </c>
      <c r="C18" s="92">
        <f t="shared" si="1"/>
        <v>4913</v>
      </c>
      <c r="D18" s="34">
        <v>3900.4079999999999</v>
      </c>
      <c r="E18" s="91">
        <f t="shared" si="2"/>
        <v>3294.5840686111096</v>
      </c>
      <c r="F18" s="91">
        <f t="shared" si="3"/>
        <v>-605.82393138889029</v>
      </c>
      <c r="G18" s="91">
        <f t="shared" si="4"/>
        <v>605.82393138889029</v>
      </c>
      <c r="H18" s="91">
        <f>SUMSQ($G18:G18)/A18</f>
        <v>21589.566814322989</v>
      </c>
      <c r="I18" s="91">
        <f>SUM($G$2:G18)/A18</f>
        <v>324.94455452485346</v>
      </c>
      <c r="J18" s="91">
        <f t="shared" si="5"/>
        <v>15.532322038845431</v>
      </c>
      <c r="K18" s="91">
        <f>AVERAGE($J$2:J18)</f>
        <v>10.019291514574801</v>
      </c>
      <c r="L18" s="91">
        <f>SUM($F18:F18)/I18</f>
        <v>-1.8643917029929908</v>
      </c>
      <c r="M18" s="124" t="s">
        <v>19</v>
      </c>
    </row>
    <row r="19" spans="1:13" x14ac:dyDescent="0.35">
      <c r="A19" s="79">
        <v>18</v>
      </c>
      <c r="B19" s="92">
        <f t="shared" si="0"/>
        <v>324</v>
      </c>
      <c r="C19" s="92">
        <f t="shared" si="1"/>
        <v>5832</v>
      </c>
      <c r="D19" s="50">
        <v>3016.83</v>
      </c>
      <c r="E19" s="91">
        <f t="shared" si="2"/>
        <v>3323.4848416310333</v>
      </c>
      <c r="F19" s="91">
        <f t="shared" si="3"/>
        <v>306.65484163103338</v>
      </c>
      <c r="G19" s="91">
        <f t="shared" si="4"/>
        <v>306.65484163103338</v>
      </c>
      <c r="H19" s="91">
        <f>SUMSQ($G19:G19)/A19</f>
        <v>5224.2884386530095</v>
      </c>
      <c r="I19" s="91">
        <f>SUM($G$2:G19)/A19</f>
        <v>323.92845936408571</v>
      </c>
      <c r="J19" s="91">
        <f t="shared" si="5"/>
        <v>10.164803506695218</v>
      </c>
      <c r="K19" s="91">
        <f>AVERAGE($J$2:J19)</f>
        <v>10.027375514137047</v>
      </c>
      <c r="L19" s="91">
        <f>SUM($F19:F19)/I19</f>
        <v>0.94667459053470415</v>
      </c>
      <c r="M19" s="125" t="s">
        <v>20</v>
      </c>
    </row>
    <row r="20" spans="1:13" x14ac:dyDescent="0.35">
      <c r="A20" s="78">
        <v>19</v>
      </c>
      <c r="B20" s="92">
        <f t="shared" si="0"/>
        <v>361</v>
      </c>
      <c r="C20" s="92">
        <f t="shared" si="1"/>
        <v>6859</v>
      </c>
      <c r="D20" s="34">
        <v>4165.1149999999998</v>
      </c>
      <c r="E20" s="91">
        <f t="shared" si="2"/>
        <v>3356.9856770244587</v>
      </c>
      <c r="F20" s="91">
        <f t="shared" si="3"/>
        <v>-808.12932297554107</v>
      </c>
      <c r="G20" s="91">
        <f t="shared" si="4"/>
        <v>808.12932297554107</v>
      </c>
      <c r="H20" s="91">
        <f>SUMSQ($G20:G20)/A20</f>
        <v>34372.263297521386</v>
      </c>
      <c r="I20" s="91">
        <f>SUM($G$2:G20)/A20</f>
        <v>349.41271534363597</v>
      </c>
      <c r="J20" s="91">
        <f t="shared" si="5"/>
        <v>19.402329178799171</v>
      </c>
      <c r="K20" s="91">
        <f>AVERAGE($J$2:J20)</f>
        <v>10.520794128066632</v>
      </c>
      <c r="L20" s="91">
        <f>SUM($F20:F20)/I20</f>
        <v>-2.3128217362690204</v>
      </c>
      <c r="M20" s="124" t="s">
        <v>21</v>
      </c>
    </row>
    <row r="21" spans="1:13" x14ac:dyDescent="0.35">
      <c r="A21" s="79">
        <v>20</v>
      </c>
      <c r="B21" s="92">
        <f t="shared" si="0"/>
        <v>400</v>
      </c>
      <c r="C21" s="92">
        <f t="shared" si="1"/>
        <v>8000</v>
      </c>
      <c r="D21" s="50">
        <v>2911.9210000000003</v>
      </c>
      <c r="E21" s="91">
        <f t="shared" si="2"/>
        <v>3394.8682358283922</v>
      </c>
      <c r="F21" s="91">
        <f t="shared" si="3"/>
        <v>482.94723582839197</v>
      </c>
      <c r="G21" s="91">
        <f t="shared" si="4"/>
        <v>482.94723582839197</v>
      </c>
      <c r="H21" s="91">
        <f>SUMSQ($G21:G21)/A21</f>
        <v>11661.901629714223</v>
      </c>
      <c r="I21" s="91">
        <f>SUM($G$2:G21)/A21</f>
        <v>356.08944136787375</v>
      </c>
      <c r="J21" s="91">
        <f t="shared" si="5"/>
        <v>16.585176446352492</v>
      </c>
      <c r="K21" s="91">
        <f>AVERAGE($J$2:J21)</f>
        <v>10.824013243980925</v>
      </c>
      <c r="L21" s="91">
        <f>SUM($F21:F21)/I21</f>
        <v>1.3562526144364451</v>
      </c>
      <c r="M21" s="125" t="s">
        <v>22</v>
      </c>
    </row>
    <row r="22" spans="1:13" x14ac:dyDescent="0.35">
      <c r="A22" s="78">
        <v>21</v>
      </c>
      <c r="B22" s="92">
        <f t="shared" si="0"/>
        <v>441</v>
      </c>
      <c r="C22" s="92">
        <f t="shared" si="1"/>
        <v>9261</v>
      </c>
      <c r="D22" s="34">
        <v>3185.0740000000001</v>
      </c>
      <c r="E22" s="91">
        <f t="shared" si="2"/>
        <v>3436.914179079839</v>
      </c>
      <c r="F22" s="91">
        <f t="shared" si="3"/>
        <v>251.84017907983889</v>
      </c>
      <c r="G22" s="91">
        <f t="shared" si="4"/>
        <v>251.84017907983889</v>
      </c>
      <c r="H22" s="91">
        <f>SUMSQ($G22:G22)/A22</f>
        <v>3020.1655142364439</v>
      </c>
      <c r="I22" s="91">
        <f>SUM($G$2:G22)/A22</f>
        <v>351.12519078272925</v>
      </c>
      <c r="J22" s="91">
        <f t="shared" si="5"/>
        <v>7.9068862789322596</v>
      </c>
      <c r="K22" s="91">
        <f>AVERAGE($J$2:J22)</f>
        <v>10.685102436121465</v>
      </c>
      <c r="L22" s="91">
        <f>SUM($F22:F22)/I22</f>
        <v>0.71723757135862587</v>
      </c>
      <c r="M22" s="124" t="s">
        <v>23</v>
      </c>
    </row>
    <row r="23" spans="1:13" x14ac:dyDescent="0.35">
      <c r="A23" s="79">
        <v>22</v>
      </c>
      <c r="B23" s="92">
        <f t="shared" si="0"/>
        <v>484</v>
      </c>
      <c r="C23" s="92">
        <f t="shared" si="1"/>
        <v>10648</v>
      </c>
      <c r="D23" s="50">
        <v>3265.3599999999997</v>
      </c>
      <c r="E23" s="91">
        <f t="shared" si="2"/>
        <v>3482.9051678158062</v>
      </c>
      <c r="F23" s="91">
        <f t="shared" si="3"/>
        <v>217.54516781580651</v>
      </c>
      <c r="G23" s="91">
        <f t="shared" si="4"/>
        <v>217.54516781580651</v>
      </c>
      <c r="H23" s="91">
        <f>SUMSQ($G23:G23)/A23</f>
        <v>2151.1772745457915</v>
      </c>
      <c r="I23" s="91">
        <f>SUM($G$2:G23)/A23</f>
        <v>345.05337155696003</v>
      </c>
      <c r="J23" s="91">
        <f t="shared" si="5"/>
        <v>6.6622108378802505</v>
      </c>
      <c r="K23" s="91">
        <f>AVERAGE($J$2:J23)</f>
        <v>10.502243727110502</v>
      </c>
      <c r="L23" s="91">
        <f>SUM($F23:F23)/I23</f>
        <v>0.63046817028389768</v>
      </c>
      <c r="M23" s="125" t="s">
        <v>24</v>
      </c>
    </row>
    <row r="24" spans="1:13" x14ac:dyDescent="0.35">
      <c r="A24" s="78">
        <v>23</v>
      </c>
      <c r="B24" s="92">
        <f t="shared" si="0"/>
        <v>529</v>
      </c>
      <c r="C24" s="92">
        <f t="shared" si="1"/>
        <v>12167</v>
      </c>
      <c r="D24" s="34">
        <v>4256.2119999999995</v>
      </c>
      <c r="E24" s="91">
        <f t="shared" si="2"/>
        <v>3532.6228630732999</v>
      </c>
      <c r="F24" s="91">
        <f t="shared" si="3"/>
        <v>-723.58913692669967</v>
      </c>
      <c r="G24" s="91">
        <f t="shared" si="4"/>
        <v>723.58913692669967</v>
      </c>
      <c r="H24" s="91">
        <f>SUMSQ($G24:G24)/A24</f>
        <v>22764.401699057657</v>
      </c>
      <c r="I24" s="91">
        <f>SUM($G$2:G24)/A24</f>
        <v>361.51144831216612</v>
      </c>
      <c r="J24" s="91">
        <f t="shared" si="5"/>
        <v>17.000777614618347</v>
      </c>
      <c r="K24" s="91">
        <f>AVERAGE($J$2:J24)</f>
        <v>10.784788678741277</v>
      </c>
      <c r="L24" s="91">
        <f>SUM($F24:F24)/I24</f>
        <v>-2.001566313611951</v>
      </c>
      <c r="M24" s="124" t="s">
        <v>25</v>
      </c>
    </row>
    <row r="25" spans="1:13" x14ac:dyDescent="0.35">
      <c r="A25" s="79">
        <v>24</v>
      </c>
      <c r="B25" s="92">
        <f t="shared" si="0"/>
        <v>576</v>
      </c>
      <c r="C25" s="92">
        <f t="shared" si="1"/>
        <v>13824</v>
      </c>
      <c r="D25" s="50">
        <v>3411.14</v>
      </c>
      <c r="E25" s="91">
        <f t="shared" si="2"/>
        <v>3585.848925889326</v>
      </c>
      <c r="F25" s="91">
        <f t="shared" si="3"/>
        <v>174.70892588932611</v>
      </c>
      <c r="G25" s="91">
        <f t="shared" si="4"/>
        <v>174.70892588932611</v>
      </c>
      <c r="H25" s="91">
        <f>SUMSQ($G25:G25)/A25</f>
        <v>1271.8003660584184</v>
      </c>
      <c r="I25" s="91">
        <f>SUM($G$2:G25)/A25</f>
        <v>353.72800987788111</v>
      </c>
      <c r="J25" s="91">
        <f t="shared" si="5"/>
        <v>5.1217166662560345</v>
      </c>
      <c r="K25" s="91">
        <f>AVERAGE($J$2:J25)</f>
        <v>10.548827344887727</v>
      </c>
      <c r="L25" s="91">
        <f>SUM($F25:F25)/I25</f>
        <v>0.49390752502082474</v>
      </c>
      <c r="M25" s="125" t="s">
        <v>26</v>
      </c>
    </row>
    <row r="26" spans="1:13" x14ac:dyDescent="0.35">
      <c r="A26" s="78">
        <v>25</v>
      </c>
      <c r="B26" s="92">
        <f t="shared" si="0"/>
        <v>625</v>
      </c>
      <c r="C26" s="92">
        <f t="shared" si="1"/>
        <v>15625</v>
      </c>
      <c r="D26" s="34">
        <v>3494.1019999999999</v>
      </c>
      <c r="E26" s="91">
        <f t="shared" si="2"/>
        <v>3642.3650173008914</v>
      </c>
      <c r="F26" s="91">
        <f t="shared" si="3"/>
        <v>148.26301730089153</v>
      </c>
      <c r="G26" s="91">
        <f t="shared" si="4"/>
        <v>148.26301730089153</v>
      </c>
      <c r="H26" s="91">
        <f>SUMSQ($G26:G26)/A26</f>
        <v>879.27689196657855</v>
      </c>
      <c r="I26" s="91">
        <f>SUM($G$2:G26)/A26</f>
        <v>345.50941017480153</v>
      </c>
      <c r="J26" s="91">
        <f t="shared" si="5"/>
        <v>4.2432366685600913</v>
      </c>
      <c r="K26" s="91">
        <f>AVERAGE($J$2:J26)</f>
        <v>10.296603717834621</v>
      </c>
      <c r="L26" s="91">
        <f>SUM($F26:F26)/I26</f>
        <v>0.42911426703510536</v>
      </c>
      <c r="M26" s="124" t="s">
        <v>27</v>
      </c>
    </row>
    <row r="27" spans="1:13" x14ac:dyDescent="0.35">
      <c r="A27" s="79">
        <v>26</v>
      </c>
      <c r="B27" s="92">
        <f t="shared" si="0"/>
        <v>676</v>
      </c>
      <c r="C27" s="92">
        <f t="shared" si="1"/>
        <v>17576</v>
      </c>
      <c r="D27" s="50">
        <v>3692.1639999999998</v>
      </c>
      <c r="E27" s="91">
        <f t="shared" si="2"/>
        <v>3701.9527983450012</v>
      </c>
      <c r="F27" s="91">
        <f t="shared" si="3"/>
        <v>9.7887983450013962</v>
      </c>
      <c r="G27" s="91">
        <f t="shared" si="4"/>
        <v>9.7887983450013962</v>
      </c>
      <c r="H27" s="91">
        <f>SUMSQ($G27:G27)/A27</f>
        <v>3.6854066553500795</v>
      </c>
      <c r="I27" s="91">
        <f>SUM($G$2:G27)/A27</f>
        <v>332.59707895057846</v>
      </c>
      <c r="J27" s="91">
        <f t="shared" si="5"/>
        <v>0.26512360623746395</v>
      </c>
      <c r="K27" s="91">
        <f>AVERAGE($J$2:J27)</f>
        <v>9.9107775596962693</v>
      </c>
      <c r="L27" s="91">
        <f>SUM($F27:F27)/I27</f>
        <v>2.943140203121249E-2</v>
      </c>
      <c r="M27" s="125" t="s">
        <v>28</v>
      </c>
    </row>
    <row r="28" spans="1:13" x14ac:dyDescent="0.35">
      <c r="A28" s="78">
        <v>27</v>
      </c>
      <c r="B28" s="92">
        <f t="shared" si="0"/>
        <v>729</v>
      </c>
      <c r="C28" s="92">
        <f t="shared" si="1"/>
        <v>19683</v>
      </c>
      <c r="D28" s="34">
        <v>3714.1660000000002</v>
      </c>
      <c r="E28" s="91">
        <f t="shared" si="2"/>
        <v>3764.3939300586635</v>
      </c>
      <c r="F28" s="91">
        <f t="shared" si="3"/>
        <v>50.227930058663333</v>
      </c>
      <c r="G28" s="91">
        <f t="shared" si="4"/>
        <v>50.227930058663333</v>
      </c>
      <c r="H28" s="91">
        <f>SUMSQ($G28:G28)/A28</f>
        <v>93.438702147332421</v>
      </c>
      <c r="I28" s="91">
        <f>SUM($G$2:G28)/A28</f>
        <v>322.13896232495199</v>
      </c>
      <c r="J28" s="91">
        <f t="shared" si="5"/>
        <v>1.3523340114217655</v>
      </c>
      <c r="K28" s="91">
        <f>AVERAGE($J$2:J28)</f>
        <v>9.5937981690194345</v>
      </c>
      <c r="L28" s="91">
        <f>SUM($F28:F28)/I28</f>
        <v>0.15592007156215024</v>
      </c>
      <c r="M28" s="124" t="s">
        <v>29</v>
      </c>
    </row>
    <row r="29" spans="1:13" x14ac:dyDescent="0.35">
      <c r="A29" s="79">
        <v>28</v>
      </c>
      <c r="B29" s="92">
        <f t="shared" si="0"/>
        <v>784</v>
      </c>
      <c r="C29" s="92">
        <f t="shared" si="1"/>
        <v>21952</v>
      </c>
      <c r="D29" s="50">
        <v>3807.252</v>
      </c>
      <c r="E29" s="91">
        <f t="shared" si="2"/>
        <v>3829.470073478883</v>
      </c>
      <c r="F29" s="91">
        <f t="shared" si="3"/>
        <v>22.21807347888307</v>
      </c>
      <c r="G29" s="91">
        <f t="shared" si="4"/>
        <v>22.21807347888307</v>
      </c>
      <c r="H29" s="91">
        <f>SUMSQ($G29:G29)/A29</f>
        <v>17.63009961118026</v>
      </c>
      <c r="I29" s="91">
        <f>SUM($G$2:G29)/A29</f>
        <v>311.42750200902094</v>
      </c>
      <c r="J29" s="91">
        <f t="shared" si="5"/>
        <v>0.58357244224661442</v>
      </c>
      <c r="K29" s="91">
        <f>AVERAGE($J$2:J29)</f>
        <v>9.2720043930632645</v>
      </c>
      <c r="L29" s="91">
        <f>SUM($F29:F29)/I29</f>
        <v>7.1342682761008983E-2</v>
      </c>
      <c r="M29" s="125" t="s">
        <v>30</v>
      </c>
    </row>
    <row r="30" spans="1:13" x14ac:dyDescent="0.35">
      <c r="A30" s="78">
        <v>29</v>
      </c>
      <c r="B30" s="92">
        <f t="shared" si="0"/>
        <v>841</v>
      </c>
      <c r="C30" s="92">
        <f t="shared" si="1"/>
        <v>24389</v>
      </c>
      <c r="D30" s="34">
        <v>3889.8969999999999</v>
      </c>
      <c r="E30" s="91">
        <f t="shared" si="2"/>
        <v>3896.9628896426661</v>
      </c>
      <c r="F30" s="91">
        <f t="shared" si="3"/>
        <v>7.0658896426662068</v>
      </c>
      <c r="G30" s="91">
        <f t="shared" si="4"/>
        <v>7.0658896426662068</v>
      </c>
      <c r="H30" s="91">
        <f>SUMSQ($G30:G30)/A30</f>
        <v>1.7216136704254337</v>
      </c>
      <c r="I30" s="91">
        <f>SUM($G$2:G30)/A30</f>
        <v>300.93227399638806</v>
      </c>
      <c r="J30" s="91">
        <f t="shared" si="5"/>
        <v>0.18164721694857747</v>
      </c>
      <c r="K30" s="91">
        <f>AVERAGE($J$2:J30)</f>
        <v>8.9585438007834473</v>
      </c>
      <c r="L30" s="91">
        <f>SUM($F30:F30)/I30</f>
        <v>2.3479999498993636E-2</v>
      </c>
      <c r="M30" s="124" t="s">
        <v>31</v>
      </c>
    </row>
    <row r="31" spans="1:13" x14ac:dyDescent="0.35">
      <c r="A31" s="79">
        <v>30</v>
      </c>
      <c r="B31" s="92">
        <f t="shared" si="0"/>
        <v>900</v>
      </c>
      <c r="C31" s="92">
        <f t="shared" si="1"/>
        <v>27000</v>
      </c>
      <c r="D31" s="50">
        <v>4010.0519999999997</v>
      </c>
      <c r="E31" s="91">
        <f t="shared" si="2"/>
        <v>3966.6540395870193</v>
      </c>
      <c r="F31" s="91">
        <f t="shared" si="3"/>
        <v>-43.39796041298041</v>
      </c>
      <c r="G31" s="91">
        <f t="shared" si="4"/>
        <v>43.39796041298041</v>
      </c>
      <c r="H31" s="91">
        <f>SUMSQ($G31:G31)/A31</f>
        <v>62.779432266887163</v>
      </c>
      <c r="I31" s="91">
        <f>SUM($G$2:G31)/A31</f>
        <v>292.34779687694112</v>
      </c>
      <c r="J31" s="91">
        <f t="shared" si="5"/>
        <v>1.08222936792292</v>
      </c>
      <c r="K31" s="91">
        <f>AVERAGE($J$2:J31)</f>
        <v>8.6959999863547637</v>
      </c>
      <c r="L31" s="91">
        <f>SUM($F31:F31)/I31</f>
        <v>-0.14844633986158634</v>
      </c>
      <c r="M31" s="125" t="s">
        <v>32</v>
      </c>
    </row>
    <row r="32" spans="1:13" x14ac:dyDescent="0.35">
      <c r="A32" s="78">
        <v>31</v>
      </c>
      <c r="B32" s="92">
        <f t="shared" si="0"/>
        <v>961</v>
      </c>
      <c r="C32" s="92">
        <f t="shared" si="1"/>
        <v>29791</v>
      </c>
      <c r="D32" s="34">
        <v>3947.6409999999996</v>
      </c>
      <c r="E32" s="91">
        <f t="shared" si="2"/>
        <v>4038.3251843489488</v>
      </c>
      <c r="F32" s="91">
        <f t="shared" si="3"/>
        <v>90.684184348949202</v>
      </c>
      <c r="G32" s="91">
        <f t="shared" si="4"/>
        <v>90.684184348949202</v>
      </c>
      <c r="H32" s="91">
        <f>SUMSQ($G32:G32)/A32</f>
        <v>265.27810616239367</v>
      </c>
      <c r="I32" s="91">
        <f>SUM($G$2:G32)/A32</f>
        <v>285.84251905345752</v>
      </c>
      <c r="J32" s="91">
        <f t="shared" si="5"/>
        <v>2.2971740426484883</v>
      </c>
      <c r="K32" s="91">
        <f>AVERAGE($J$2:J32)</f>
        <v>8.4895862462352056</v>
      </c>
      <c r="L32" s="91">
        <f>SUM($F32:F32)/I32</f>
        <v>0.31725225711430877</v>
      </c>
      <c r="M32" s="124" t="s">
        <v>33</v>
      </c>
    </row>
    <row r="33" spans="1:13" x14ac:dyDescent="0.35">
      <c r="A33" s="79">
        <v>32</v>
      </c>
      <c r="B33" s="92">
        <f t="shared" si="0"/>
        <v>1024</v>
      </c>
      <c r="C33" s="92">
        <f t="shared" si="1"/>
        <v>32768</v>
      </c>
      <c r="D33" s="50">
        <v>4314.2849999999999</v>
      </c>
      <c r="E33" s="91">
        <f t="shared" si="2"/>
        <v>4111.7579849654612</v>
      </c>
      <c r="F33" s="91">
        <f t="shared" si="3"/>
        <v>-202.52701503453864</v>
      </c>
      <c r="G33" s="91">
        <f t="shared" si="4"/>
        <v>202.52701503453864</v>
      </c>
      <c r="H33" s="91">
        <f>SUMSQ($G33:G33)/A33</f>
        <v>1281.7872443375074</v>
      </c>
      <c r="I33" s="91">
        <f>SUM($G$2:G33)/A33</f>
        <v>283.23890955286629</v>
      </c>
      <c r="J33" s="91">
        <f t="shared" si="5"/>
        <v>4.6943355627766508</v>
      </c>
      <c r="K33" s="91">
        <f>AVERAGE($J$2:J33)</f>
        <v>8.3709846623771256</v>
      </c>
      <c r="L33" s="91">
        <f>SUM($F33:F33)/I33</f>
        <v>-0.71503952389259273</v>
      </c>
      <c r="M33" s="125" t="s">
        <v>34</v>
      </c>
    </row>
    <row r="34" spans="1:13" x14ac:dyDescent="0.35">
      <c r="A34" s="78">
        <v>33</v>
      </c>
      <c r="B34" s="92">
        <f t="shared" si="0"/>
        <v>1089</v>
      </c>
      <c r="C34" s="92">
        <f t="shared" si="1"/>
        <v>35937</v>
      </c>
      <c r="D34" s="34">
        <v>4375.1080000000002</v>
      </c>
      <c r="E34" s="91">
        <f t="shared" si="2"/>
        <v>4186.7341024735624</v>
      </c>
      <c r="F34" s="91">
        <f t="shared" si="3"/>
        <v>-188.37389752643776</v>
      </c>
      <c r="G34" s="91">
        <f t="shared" si="4"/>
        <v>188.37389752643776</v>
      </c>
      <c r="H34" s="91">
        <f>SUMSQ($G34:G34)/A34</f>
        <v>1075.2947051303295</v>
      </c>
      <c r="I34" s="91">
        <f>SUM($G$2:G34)/A34</f>
        <v>280.36421221873212</v>
      </c>
      <c r="J34" s="91">
        <f t="shared" si="5"/>
        <v>4.3055827999317442</v>
      </c>
      <c r="K34" s="91">
        <f>AVERAGE($J$2:J34)</f>
        <v>8.2477906665454483</v>
      </c>
      <c r="L34" s="91">
        <f>SUM($F34:F34)/I34</f>
        <v>-0.67188995355610448</v>
      </c>
      <c r="M34" s="124" t="s">
        <v>35</v>
      </c>
    </row>
    <row r="35" spans="1:13" x14ac:dyDescent="0.35">
      <c r="A35" s="79">
        <v>34</v>
      </c>
      <c r="B35" s="92">
        <f t="shared" si="0"/>
        <v>1156</v>
      </c>
      <c r="C35" s="92">
        <f t="shared" si="1"/>
        <v>39304</v>
      </c>
      <c r="D35" s="50">
        <v>4398.5460000000003</v>
      </c>
      <c r="E35" s="91">
        <f t="shared" si="2"/>
        <v>4263.0351979102597</v>
      </c>
      <c r="F35" s="91">
        <f t="shared" si="3"/>
        <v>-135.51080208974054</v>
      </c>
      <c r="G35" s="91">
        <f t="shared" si="4"/>
        <v>135.51080208974054</v>
      </c>
      <c r="H35" s="91">
        <f>SUMSQ($G35:G35)/A35</f>
        <v>540.09345538249488</v>
      </c>
      <c r="I35" s="91">
        <f>SUM($G$2:G35)/A35</f>
        <v>276.10381780317357</v>
      </c>
      <c r="J35" s="91">
        <f t="shared" si="5"/>
        <v>3.0808090239306472</v>
      </c>
      <c r="K35" s="91">
        <f>AVERAGE($J$2:J35)</f>
        <v>8.0958206182332475</v>
      </c>
      <c r="L35" s="91">
        <f>SUM($F35:F35)/I35</f>
        <v>-0.49079655315140291</v>
      </c>
      <c r="M35" s="125" t="s">
        <v>36</v>
      </c>
    </row>
    <row r="36" spans="1:13" x14ac:dyDescent="0.35">
      <c r="A36" s="78">
        <v>35</v>
      </c>
      <c r="B36" s="92">
        <f t="shared" si="0"/>
        <v>1225</v>
      </c>
      <c r="C36" s="92">
        <f t="shared" si="1"/>
        <v>42875</v>
      </c>
      <c r="D36" s="34">
        <v>4257.6869999999999</v>
      </c>
      <c r="E36" s="91">
        <f t="shared" si="2"/>
        <v>4340.4429323125569</v>
      </c>
      <c r="F36" s="91">
        <f t="shared" si="3"/>
        <v>82.755932312556979</v>
      </c>
      <c r="G36" s="91">
        <f t="shared" si="4"/>
        <v>82.755932312556979</v>
      </c>
      <c r="H36" s="91">
        <f>SUMSQ($G36:G36)/A36</f>
        <v>195.67269522630036</v>
      </c>
      <c r="I36" s="91">
        <f>SUM($G$2:G36)/A36</f>
        <v>270.57959250344163</v>
      </c>
      <c r="J36" s="91">
        <f t="shared" si="5"/>
        <v>1.9436828567378717</v>
      </c>
      <c r="K36" s="91">
        <f>AVERAGE($J$2:J36)</f>
        <v>7.9200452536190955</v>
      </c>
      <c r="L36" s="91">
        <f>SUM($F36:F36)/I36</f>
        <v>0.3058469101342311</v>
      </c>
      <c r="M36" s="124" t="s">
        <v>37</v>
      </c>
    </row>
    <row r="37" spans="1:13" x14ac:dyDescent="0.35">
      <c r="A37" s="79">
        <v>36</v>
      </c>
      <c r="B37" s="92">
        <f t="shared" si="0"/>
        <v>1296</v>
      </c>
      <c r="C37" s="92">
        <f t="shared" si="1"/>
        <v>46656</v>
      </c>
      <c r="D37" s="50">
        <v>4518.3440000000001</v>
      </c>
      <c r="E37" s="91">
        <f t="shared" si="2"/>
        <v>4418.7389667174612</v>
      </c>
      <c r="F37" s="91">
        <f t="shared" si="3"/>
        <v>-99.605033282538898</v>
      </c>
      <c r="G37" s="91">
        <f t="shared" si="4"/>
        <v>99.605033282538898</v>
      </c>
      <c r="H37" s="91">
        <f>SUMSQ($G37:G37)/A37</f>
        <v>275.58785153376891</v>
      </c>
      <c r="I37" s="91">
        <f>SUM($G$2:G37)/A37</f>
        <v>265.83029919174987</v>
      </c>
      <c r="J37" s="91">
        <f t="shared" si="5"/>
        <v>2.20445883010543</v>
      </c>
      <c r="K37" s="91">
        <f>AVERAGE($J$2:J37)</f>
        <v>7.7612789640770483</v>
      </c>
      <c r="L37" s="91">
        <f>SUM($F37:F37)/I37</f>
        <v>-0.37469405701827602</v>
      </c>
      <c r="M37" s="125" t="s">
        <v>38</v>
      </c>
    </row>
    <row r="38" spans="1:13" x14ac:dyDescent="0.35">
      <c r="A38" s="78">
        <v>37</v>
      </c>
      <c r="B38" s="92">
        <f t="shared" si="0"/>
        <v>1369</v>
      </c>
      <c r="C38" s="92">
        <f t="shared" si="1"/>
        <v>50653</v>
      </c>
      <c r="D38" s="34">
        <v>4358.7479999999996</v>
      </c>
      <c r="E38" s="91">
        <f t="shared" si="2"/>
        <v>4497.7049621619808</v>
      </c>
      <c r="F38" s="91">
        <f t="shared" si="3"/>
        <v>138.95696216198121</v>
      </c>
      <c r="G38" s="91">
        <f t="shared" si="4"/>
        <v>138.95696216198121</v>
      </c>
      <c r="H38" s="91">
        <f>SUMSQ($G38:G38)/A38</f>
        <v>521.86587387260204</v>
      </c>
      <c r="I38" s="91">
        <f>SUM($G$2:G38)/A38</f>
        <v>262.40129008283719</v>
      </c>
      <c r="J38" s="91">
        <f t="shared" si="5"/>
        <v>3.1880017418300217</v>
      </c>
      <c r="K38" s="91">
        <f>AVERAGE($J$2:J38)</f>
        <v>7.6376768769892909</v>
      </c>
      <c r="L38" s="91">
        <f>SUM($F38:F38)/I38</f>
        <v>0.52955899004198503</v>
      </c>
      <c r="M38" s="124" t="s">
        <v>39</v>
      </c>
    </row>
    <row r="39" spans="1:13" x14ac:dyDescent="0.35">
      <c r="A39" s="79">
        <v>38</v>
      </c>
      <c r="B39" s="92">
        <f t="shared" si="0"/>
        <v>1444</v>
      </c>
      <c r="C39" s="92">
        <f t="shared" si="1"/>
        <v>54872</v>
      </c>
      <c r="D39" s="50">
        <v>4560.9520000000002</v>
      </c>
      <c r="E39" s="91">
        <f t="shared" si="2"/>
        <v>4577.1225796831204</v>
      </c>
      <c r="F39" s="91">
        <f t="shared" si="3"/>
        <v>16.170579683120195</v>
      </c>
      <c r="G39" s="91">
        <f t="shared" si="4"/>
        <v>16.170579683120195</v>
      </c>
      <c r="H39" s="91">
        <f>SUMSQ($G39:G39)/A39</f>
        <v>6.8812538760036741</v>
      </c>
      <c r="I39" s="91">
        <f>SUM($G$2:G39)/A39</f>
        <v>255.92153454600253</v>
      </c>
      <c r="J39" s="91">
        <f t="shared" si="5"/>
        <v>0.35454395668097788</v>
      </c>
      <c r="K39" s="91">
        <f>AVERAGE($J$2:J39)</f>
        <v>7.4460154843495987</v>
      </c>
      <c r="L39" s="91">
        <f>SUM($F39:F39)/I39</f>
        <v>6.3185693661169787E-2</v>
      </c>
      <c r="M39" s="125" t="s">
        <v>40</v>
      </c>
    </row>
    <row r="40" spans="1:13" x14ac:dyDescent="0.35">
      <c r="A40" s="78">
        <v>39</v>
      </c>
      <c r="B40" s="92">
        <f t="shared" si="0"/>
        <v>1521</v>
      </c>
      <c r="C40" s="92">
        <f t="shared" si="1"/>
        <v>59319</v>
      </c>
      <c r="D40" s="34">
        <v>4659.3</v>
      </c>
      <c r="E40" s="91">
        <f t="shared" si="2"/>
        <v>4656.7734803178864</v>
      </c>
      <c r="F40" s="91">
        <f t="shared" si="3"/>
        <v>-2.5265196821137579</v>
      </c>
      <c r="G40" s="91">
        <f t="shared" si="4"/>
        <v>2.5265196821137579</v>
      </c>
      <c r="H40" s="91">
        <f>SUMSQ($G40:G40)/A40</f>
        <v>0.16367440266944114</v>
      </c>
      <c r="I40" s="91">
        <f>SUM($G$2:G40)/A40</f>
        <v>249.42422647256944</v>
      </c>
      <c r="J40" s="91">
        <f t="shared" si="5"/>
        <v>5.4225305992611716E-2</v>
      </c>
      <c r="K40" s="91">
        <f>AVERAGE($J$2:J40)</f>
        <v>7.2564824028532646</v>
      </c>
      <c r="L40" s="91">
        <f>SUM($F40:F40)/I40</f>
        <v>-1.0129407707681568E-2</v>
      </c>
      <c r="M40" s="124" t="s">
        <v>41</v>
      </c>
    </row>
    <row r="41" spans="1:13" x14ac:dyDescent="0.35">
      <c r="A41" s="79">
        <v>40</v>
      </c>
      <c r="B41" s="92">
        <f t="shared" si="0"/>
        <v>1600</v>
      </c>
      <c r="C41" s="92">
        <f t="shared" si="1"/>
        <v>64000</v>
      </c>
      <c r="D41" s="50">
        <v>4750.366</v>
      </c>
      <c r="E41" s="91">
        <f t="shared" si="2"/>
        <v>4736.4393251032834</v>
      </c>
      <c r="F41" s="91">
        <f t="shared" si="3"/>
        <v>-13.926674896716577</v>
      </c>
      <c r="G41" s="91">
        <f t="shared" si="4"/>
        <v>13.926674896716577</v>
      </c>
      <c r="H41" s="91">
        <f>SUMSQ($G41:G41)/A41</f>
        <v>4.8488068419708918</v>
      </c>
      <c r="I41" s="91">
        <f>SUM($G$2:G41)/A41</f>
        <v>243.53678768317315</v>
      </c>
      <c r="J41" s="91">
        <f t="shared" si="5"/>
        <v>0.2931705661567251</v>
      </c>
      <c r="K41" s="91">
        <f>AVERAGE($J$2:J41)</f>
        <v>7.0823996069358515</v>
      </c>
      <c r="L41" s="91">
        <f>SUM($F41:F41)/I41</f>
        <v>-5.7185097287373074E-2</v>
      </c>
      <c r="M41" s="125" t="s">
        <v>42</v>
      </c>
    </row>
    <row r="42" spans="1:13" x14ac:dyDescent="0.35">
      <c r="A42" s="78">
        <v>41</v>
      </c>
      <c r="B42" s="92">
        <f t="shared" si="0"/>
        <v>1681</v>
      </c>
      <c r="C42" s="92">
        <f t="shared" si="1"/>
        <v>68921</v>
      </c>
      <c r="D42" s="34">
        <v>4532.5</v>
      </c>
      <c r="E42" s="91">
        <f t="shared" si="2"/>
        <v>4815.9017750763196</v>
      </c>
      <c r="F42" s="91">
        <f t="shared" si="3"/>
        <v>283.40177507631961</v>
      </c>
      <c r="G42" s="91">
        <f t="shared" si="4"/>
        <v>283.40177507631961</v>
      </c>
      <c r="H42" s="91">
        <f>SUMSQ($G42:G42)/A42</f>
        <v>1958.9406369855817</v>
      </c>
      <c r="I42" s="91">
        <f>SUM($G$2:G42)/A42</f>
        <v>244.50910444885963</v>
      </c>
      <c r="J42" s="91">
        <f t="shared" si="5"/>
        <v>6.2526591302001018</v>
      </c>
      <c r="K42" s="91">
        <f>AVERAGE($J$2:J42)</f>
        <v>7.0621620343325411</v>
      </c>
      <c r="L42" s="91">
        <f>SUM($F42:F42)/I42</f>
        <v>1.1590643044361344</v>
      </c>
      <c r="M42" s="124" t="s">
        <v>43</v>
      </c>
    </row>
    <row r="43" spans="1:13" x14ac:dyDescent="0.35">
      <c r="A43" s="79">
        <v>42</v>
      </c>
      <c r="B43" s="92">
        <f t="shared" si="0"/>
        <v>1764</v>
      </c>
      <c r="C43" s="92">
        <f t="shared" si="1"/>
        <v>74088</v>
      </c>
      <c r="D43" s="50">
        <v>4794.3590000000004</v>
      </c>
      <c r="E43" s="91">
        <f t="shared" si="2"/>
        <v>4894.9424912740033</v>
      </c>
      <c r="F43" s="91">
        <f t="shared" si="3"/>
        <v>100.58349127400288</v>
      </c>
      <c r="G43" s="91">
        <f t="shared" si="4"/>
        <v>100.58349127400288</v>
      </c>
      <c r="H43" s="91">
        <f>SUMSQ($G43:G43)/A43</f>
        <v>240.88187421112889</v>
      </c>
      <c r="I43" s="91">
        <f>SUM($G$2:G43)/A43</f>
        <v>241.08230413517256</v>
      </c>
      <c r="J43" s="91">
        <f t="shared" si="5"/>
        <v>2.097954935665078</v>
      </c>
      <c r="K43" s="91">
        <f>AVERAGE($J$2:J43)</f>
        <v>6.9439666272214113</v>
      </c>
      <c r="L43" s="91">
        <f>SUM($F43:F43)/I43</f>
        <v>0.41721640099145008</v>
      </c>
      <c r="M43" s="125" t="s">
        <v>44</v>
      </c>
    </row>
    <row r="44" spans="1:13" x14ac:dyDescent="0.35">
      <c r="A44" s="78">
        <v>43</v>
      </c>
      <c r="B44" s="92">
        <f t="shared" si="0"/>
        <v>1849</v>
      </c>
      <c r="C44" s="92">
        <f t="shared" si="1"/>
        <v>79507</v>
      </c>
      <c r="D44" s="34">
        <v>4187.83</v>
      </c>
      <c r="E44" s="91">
        <f t="shared" si="2"/>
        <v>4973.3431347333353</v>
      </c>
      <c r="F44" s="91">
        <f t="shared" si="3"/>
        <v>785.51313473333539</v>
      </c>
      <c r="G44" s="91">
        <f t="shared" si="4"/>
        <v>785.51313473333539</v>
      </c>
      <c r="H44" s="91">
        <f>SUMSQ($G44:G44)/A44</f>
        <v>14349.555461362585</v>
      </c>
      <c r="I44" s="91">
        <f>SUM($G$2:G44)/A44</f>
        <v>253.7434862421066</v>
      </c>
      <c r="J44" s="91">
        <f t="shared" si="5"/>
        <v>18.757044453412277</v>
      </c>
      <c r="K44" s="91">
        <f>AVERAGE($J$2:J44)</f>
        <v>7.2186893673653847</v>
      </c>
      <c r="L44" s="91">
        <f>SUM($F44:F44)/I44</f>
        <v>3.0956977314635243</v>
      </c>
      <c r="M44" s="124" t="s">
        <v>45</v>
      </c>
    </row>
    <row r="45" spans="1:13" x14ac:dyDescent="0.35">
      <c r="A45" s="79">
        <v>44</v>
      </c>
      <c r="B45" s="92">
        <f t="shared" si="0"/>
        <v>1936</v>
      </c>
      <c r="C45" s="92">
        <f t="shared" si="1"/>
        <v>85184</v>
      </c>
      <c r="D45" s="50">
        <v>5120.07</v>
      </c>
      <c r="E45" s="91">
        <f t="shared" si="2"/>
        <v>5050.8853664913258</v>
      </c>
      <c r="F45" s="91">
        <f t="shared" si="3"/>
        <v>-69.184633508673869</v>
      </c>
      <c r="G45" s="91">
        <f t="shared" si="4"/>
        <v>69.184633508673869</v>
      </c>
      <c r="H45" s="91">
        <f>SUMSQ($G45:G45)/A45</f>
        <v>108.78439803930725</v>
      </c>
      <c r="I45" s="91">
        <f>SUM($G$2:G45)/A45</f>
        <v>249.54896686180129</v>
      </c>
      <c r="J45" s="91">
        <f t="shared" si="5"/>
        <v>1.3512438991786024</v>
      </c>
      <c r="K45" s="91">
        <f>AVERAGE($J$2:J45)</f>
        <v>7.0853383339975036</v>
      </c>
      <c r="L45" s="91">
        <f>SUM($F45:F45)/I45</f>
        <v>-0.27723870941524636</v>
      </c>
      <c r="M45" s="125" t="s">
        <v>46</v>
      </c>
    </row>
    <row r="46" spans="1:13" x14ac:dyDescent="0.35">
      <c r="A46" s="78">
        <v>45</v>
      </c>
      <c r="B46" s="92">
        <f t="shared" si="0"/>
        <v>2025</v>
      </c>
      <c r="C46" s="92">
        <f t="shared" si="1"/>
        <v>91125</v>
      </c>
      <c r="D46" s="34">
        <v>4755.9179999999997</v>
      </c>
      <c r="E46" s="91">
        <f t="shared" si="2"/>
        <v>5127.3508475849803</v>
      </c>
      <c r="F46" s="91">
        <f t="shared" si="3"/>
        <v>371.43284758498066</v>
      </c>
      <c r="G46" s="91">
        <f t="shared" si="4"/>
        <v>371.43284758498066</v>
      </c>
      <c r="H46" s="91">
        <f>SUMSQ($G46:G46)/A46</f>
        <v>3065.830228113055</v>
      </c>
      <c r="I46" s="91">
        <f>SUM($G$2:G46)/A46</f>
        <v>252.25749754453864</v>
      </c>
      <c r="J46" s="91">
        <f t="shared" si="5"/>
        <v>7.8099085725401638</v>
      </c>
      <c r="K46" s="91">
        <f>AVERAGE($J$2:J46)</f>
        <v>7.101439894854007</v>
      </c>
      <c r="L46" s="91">
        <f>SUM($F46:F46)/I46</f>
        <v>1.4724353139172817</v>
      </c>
      <c r="M46" s="124" t="s">
        <v>47</v>
      </c>
    </row>
    <row r="47" spans="1:13" x14ac:dyDescent="0.35">
      <c r="A47" s="79">
        <v>46</v>
      </c>
      <c r="B47" s="92">
        <f t="shared" si="0"/>
        <v>2116</v>
      </c>
      <c r="C47" s="92">
        <f t="shared" si="1"/>
        <v>97336</v>
      </c>
      <c r="D47" s="50">
        <v>5158.3530000000001</v>
      </c>
      <c r="E47" s="91">
        <f t="shared" si="2"/>
        <v>5202.5212390513061</v>
      </c>
      <c r="F47" s="91">
        <f t="shared" si="3"/>
        <v>44.168239051306045</v>
      </c>
      <c r="G47" s="91">
        <f t="shared" si="4"/>
        <v>44.168239051306045</v>
      </c>
      <c r="H47" s="91">
        <f>SUMSQ($G47:G47)/A47</f>
        <v>42.409420454202525</v>
      </c>
      <c r="I47" s="91">
        <f>SUM($G$2:G47)/A47</f>
        <v>247.73381801207705</v>
      </c>
      <c r="J47" s="91">
        <f t="shared" si="5"/>
        <v>0.85624692709680883</v>
      </c>
      <c r="K47" s="91">
        <f>AVERAGE($J$2:J47)</f>
        <v>6.9656748303375471</v>
      </c>
      <c r="L47" s="91">
        <f>SUM($F47:F47)/I47</f>
        <v>0.17828909837878024</v>
      </c>
      <c r="M47" s="125" t="s">
        <v>48</v>
      </c>
    </row>
    <row r="48" spans="1:13" x14ac:dyDescent="0.35">
      <c r="A48" s="78">
        <v>47</v>
      </c>
      <c r="B48" s="92">
        <f t="shared" si="0"/>
        <v>2209</v>
      </c>
      <c r="C48" s="92">
        <f t="shared" si="1"/>
        <v>103823</v>
      </c>
      <c r="D48" s="34">
        <v>5027.1220000000003</v>
      </c>
      <c r="E48" s="91">
        <f t="shared" si="2"/>
        <v>5276.1782019273069</v>
      </c>
      <c r="F48" s="91">
        <f t="shared" si="3"/>
        <v>249.05620192730657</v>
      </c>
      <c r="G48" s="91">
        <f t="shared" si="4"/>
        <v>249.05620192730657</v>
      </c>
      <c r="H48" s="91">
        <f>SUMSQ($G48:G48)/A48</f>
        <v>1319.7657812437299</v>
      </c>
      <c r="I48" s="91">
        <f>SUM($G$2:G48)/A48</f>
        <v>247.76195384006061</v>
      </c>
      <c r="J48" s="91">
        <f t="shared" si="5"/>
        <v>4.9542502037409584</v>
      </c>
      <c r="K48" s="91">
        <f>AVERAGE($J$2:J48)</f>
        <v>6.9228785616865558</v>
      </c>
      <c r="L48" s="91">
        <f>SUM($F48:F48)/I48</f>
        <v>1.0052237563806163</v>
      </c>
      <c r="M48" s="124" t="s">
        <v>49</v>
      </c>
    </row>
    <row r="49" spans="1:13" x14ac:dyDescent="0.35">
      <c r="A49" s="79">
        <v>48</v>
      </c>
      <c r="B49" s="92">
        <f t="shared" si="0"/>
        <v>2304</v>
      </c>
      <c r="C49" s="92">
        <f t="shared" si="1"/>
        <v>110592</v>
      </c>
      <c r="D49" s="50">
        <v>5410.277</v>
      </c>
      <c r="E49" s="91">
        <f t="shared" si="2"/>
        <v>5348.1033972499881</v>
      </c>
      <c r="F49" s="91">
        <f t="shared" si="3"/>
        <v>-62.173602750011923</v>
      </c>
      <c r="G49" s="91">
        <f t="shared" si="4"/>
        <v>62.173602750011923</v>
      </c>
      <c r="H49" s="91">
        <f>SUMSQ($G49:G49)/A49</f>
        <v>80.53243497742271</v>
      </c>
      <c r="I49" s="91">
        <f>SUM($G$2:G49)/A49</f>
        <v>243.89552985901796</v>
      </c>
      <c r="J49" s="91">
        <f t="shared" si="5"/>
        <v>1.1491759617855413</v>
      </c>
      <c r="K49" s="91">
        <f>AVERAGE($J$2:J49)</f>
        <v>6.802593090855285</v>
      </c>
      <c r="L49" s="91">
        <f>SUM($F49:F49)/I49</f>
        <v>-0.25491899251269967</v>
      </c>
      <c r="M49" s="125" t="s">
        <v>50</v>
      </c>
    </row>
    <row r="50" spans="1:13" x14ac:dyDescent="0.35">
      <c r="A50" s="78">
        <v>49</v>
      </c>
      <c r="B50" s="92">
        <f t="shared" si="0"/>
        <v>2401</v>
      </c>
      <c r="C50" s="92">
        <f t="shared" si="1"/>
        <v>117649</v>
      </c>
      <c r="D50" s="34">
        <v>5386.6620000000003</v>
      </c>
      <c r="E50" s="91">
        <f t="shared" si="2"/>
        <v>5418.0784860563599</v>
      </c>
      <c r="F50" s="91">
        <f t="shared" si="3"/>
        <v>31.416486056359645</v>
      </c>
      <c r="G50" s="91">
        <f t="shared" si="4"/>
        <v>31.416486056359645</v>
      </c>
      <c r="H50" s="91">
        <f>SUMSQ($G50:G50)/A50</f>
        <v>20.142767267947754</v>
      </c>
      <c r="I50" s="91">
        <f>SUM($G$2:G50)/A50</f>
        <v>239.55922284263715</v>
      </c>
      <c r="J50" s="91">
        <f t="shared" si="5"/>
        <v>0.58322735037690587</v>
      </c>
      <c r="K50" s="91">
        <f>AVERAGE($J$2:J50)</f>
        <v>6.6756672594169499</v>
      </c>
      <c r="L50" s="91">
        <f>SUM($F50:F50)/I50</f>
        <v>0.13114287850648382</v>
      </c>
      <c r="M50" s="124" t="s">
        <v>51</v>
      </c>
    </row>
    <row r="51" spans="1:13" x14ac:dyDescent="0.35">
      <c r="A51" s="79">
        <v>50</v>
      </c>
      <c r="B51" s="92">
        <f t="shared" si="0"/>
        <v>2500</v>
      </c>
      <c r="C51" s="92">
        <f t="shared" si="1"/>
        <v>125000</v>
      </c>
      <c r="D51" s="50">
        <v>5543.451</v>
      </c>
      <c r="E51" s="91">
        <f t="shared" si="2"/>
        <v>5485.8851293834286</v>
      </c>
      <c r="F51" s="91">
        <f t="shared" si="3"/>
        <v>-57.565870616571374</v>
      </c>
      <c r="G51" s="91">
        <f t="shared" si="4"/>
        <v>57.565870616571374</v>
      </c>
      <c r="H51" s="91">
        <f>SUMSQ($G51:G51)/A51</f>
        <v>66.276589196876714</v>
      </c>
      <c r="I51" s="91">
        <f>SUM($G$2:G51)/A51</f>
        <v>235.91935579811587</v>
      </c>
      <c r="J51" s="91">
        <f t="shared" si="5"/>
        <v>1.0384482629425491</v>
      </c>
      <c r="K51" s="91">
        <f>AVERAGE($J$2:J51)</f>
        <v>6.5629228794874619</v>
      </c>
      <c r="L51" s="91">
        <f>SUM($F51:F51)/I51</f>
        <v>-0.24400656072421809</v>
      </c>
      <c r="M51" s="125" t="s">
        <v>52</v>
      </c>
    </row>
    <row r="52" spans="1:13" x14ac:dyDescent="0.35">
      <c r="A52" s="78">
        <v>51</v>
      </c>
      <c r="B52" s="92">
        <f t="shared" si="0"/>
        <v>2601</v>
      </c>
      <c r="C52" s="92">
        <f t="shared" si="1"/>
        <v>132651</v>
      </c>
      <c r="D52" s="34">
        <v>5764.6930000000002</v>
      </c>
      <c r="E52" s="91">
        <f t="shared" si="2"/>
        <v>5551.3049882681953</v>
      </c>
      <c r="F52" s="91">
        <f t="shared" si="3"/>
        <v>-213.38801173180491</v>
      </c>
      <c r="G52" s="91">
        <f t="shared" si="4"/>
        <v>213.38801173180491</v>
      </c>
      <c r="H52" s="91">
        <f>SUMSQ($G52:G52)/A52</f>
        <v>892.83222648731191</v>
      </c>
      <c r="I52" s="91">
        <f>SUM($G$2:G52)/A52</f>
        <v>235.47756473799211</v>
      </c>
      <c r="J52" s="91">
        <f t="shared" si="5"/>
        <v>3.7016370469651187</v>
      </c>
      <c r="K52" s="91">
        <f>AVERAGE($J$2:J52)</f>
        <v>6.5068192357125145</v>
      </c>
      <c r="L52" s="91">
        <f>SUM($F52:F52)/I52</f>
        <v>-0.90619253672524813</v>
      </c>
      <c r="M52" s="124" t="s">
        <v>53</v>
      </c>
    </row>
    <row r="53" spans="1:13" x14ac:dyDescent="0.35">
      <c r="A53" s="79">
        <v>52</v>
      </c>
      <c r="B53" s="92">
        <f t="shared" si="0"/>
        <v>2704</v>
      </c>
      <c r="C53" s="92">
        <f t="shared" si="1"/>
        <v>140608</v>
      </c>
      <c r="D53" s="50">
        <v>6170.3580000000002</v>
      </c>
      <c r="E53" s="91">
        <f t="shared" si="2"/>
        <v>5614.1197237476717</v>
      </c>
      <c r="F53" s="91">
        <f t="shared" si="3"/>
        <v>-556.23827625232843</v>
      </c>
      <c r="G53" s="91">
        <f t="shared" si="4"/>
        <v>556.23827625232843</v>
      </c>
      <c r="H53" s="91">
        <f>SUMSQ($G53:G53)/A53</f>
        <v>5950.0196147723391</v>
      </c>
      <c r="I53" s="91">
        <f>SUM($G$2:G53)/A53</f>
        <v>241.64603995942164</v>
      </c>
      <c r="J53" s="91">
        <f t="shared" si="5"/>
        <v>9.0146840143202134</v>
      </c>
      <c r="K53" s="91">
        <f>AVERAGE($J$2:J53)</f>
        <v>6.5550474045318925</v>
      </c>
      <c r="L53" s="91">
        <f>SUM($F53:F53)/I53</f>
        <v>-2.3018720950102662</v>
      </c>
      <c r="M53" s="125" t="s">
        <v>54</v>
      </c>
    </row>
    <row r="54" spans="1:13" x14ac:dyDescent="0.35">
      <c r="A54" s="78">
        <v>53</v>
      </c>
      <c r="B54" s="92">
        <f t="shared" si="0"/>
        <v>2809</v>
      </c>
      <c r="C54" s="92">
        <f t="shared" si="1"/>
        <v>148877</v>
      </c>
      <c r="D54" s="34">
        <v>6077.558</v>
      </c>
      <c r="E54" s="91">
        <f t="shared" si="2"/>
        <v>5674.1109968588607</v>
      </c>
      <c r="F54" s="91">
        <f t="shared" si="3"/>
        <v>-403.44700314113925</v>
      </c>
      <c r="G54" s="91">
        <f t="shared" si="4"/>
        <v>403.44700314113925</v>
      </c>
      <c r="H54" s="91">
        <f>SUMSQ($G54:G54)/A54</f>
        <v>3071.1223461050272</v>
      </c>
      <c r="I54" s="91">
        <f>SUM($G$2:G54)/A54</f>
        <v>244.69888832134083</v>
      </c>
      <c r="J54" s="91">
        <f t="shared" si="5"/>
        <v>6.638307740397364</v>
      </c>
      <c r="K54" s="91">
        <f>AVERAGE($J$2:J54)</f>
        <v>6.5566183542652032</v>
      </c>
      <c r="L54" s="91">
        <f>SUM($F54:F54)/I54</f>
        <v>-1.6487488190437911</v>
      </c>
      <c r="M54" s="124" t="s">
        <v>55</v>
      </c>
    </row>
    <row r="55" spans="1:13" x14ac:dyDescent="0.35">
      <c r="A55" s="79">
        <v>54</v>
      </c>
      <c r="B55" s="92">
        <f t="shared" si="0"/>
        <v>2916</v>
      </c>
      <c r="C55" s="92">
        <f t="shared" si="1"/>
        <v>157464</v>
      </c>
      <c r="D55" s="50">
        <v>6345.5069999999996</v>
      </c>
      <c r="E55" s="91">
        <f t="shared" si="2"/>
        <v>5731.0604686387705</v>
      </c>
      <c r="F55" s="91">
        <f t="shared" si="3"/>
        <v>-614.44653136122906</v>
      </c>
      <c r="G55" s="91">
        <f t="shared" si="4"/>
        <v>614.44653136122906</v>
      </c>
      <c r="H55" s="91">
        <f>SUMSQ($G55:G55)/A55</f>
        <v>6991.5655537378861</v>
      </c>
      <c r="I55" s="91">
        <f>SUM($G$2:G55)/A55</f>
        <v>251.54606689615358</v>
      </c>
      <c r="J55" s="91">
        <f t="shared" si="5"/>
        <v>9.6831747464974676</v>
      </c>
      <c r="K55" s="91">
        <f>AVERAGE($J$2:J55)</f>
        <v>6.614517546713949</v>
      </c>
      <c r="L55" s="91">
        <f>SUM($F55:F55)/I55</f>
        <v>-2.4426799390780878</v>
      </c>
      <c r="M55" s="125" t="s">
        <v>56</v>
      </c>
    </row>
    <row r="56" spans="1:13" x14ac:dyDescent="0.35">
      <c r="A56" s="78">
        <v>55</v>
      </c>
      <c r="B56" s="92">
        <f t="shared" si="0"/>
        <v>3025</v>
      </c>
      <c r="C56" s="92">
        <f t="shared" si="1"/>
        <v>166375</v>
      </c>
      <c r="D56" s="34">
        <v>6394.8150000000005</v>
      </c>
      <c r="E56" s="91">
        <f t="shared" si="2"/>
        <v>5784.7498001244076</v>
      </c>
      <c r="F56" s="91">
        <f t="shared" si="3"/>
        <v>-610.06519987559295</v>
      </c>
      <c r="G56" s="91">
        <f t="shared" si="4"/>
        <v>610.06519987559295</v>
      </c>
      <c r="H56" s="91">
        <f>SUMSQ($G56:G56)/A56</f>
        <v>6766.9008745317669</v>
      </c>
      <c r="I56" s="91">
        <f>SUM($G$2:G56)/A56</f>
        <v>258.06459658668882</v>
      </c>
      <c r="J56" s="91">
        <f t="shared" si="5"/>
        <v>9.5399976367665502</v>
      </c>
      <c r="K56" s="91">
        <f>AVERAGE($J$2:J56)</f>
        <v>6.667708093805814</v>
      </c>
      <c r="L56" s="91">
        <f>SUM($F56:F56)/I56</f>
        <v>-2.3640019124849636</v>
      </c>
      <c r="M56" s="124" t="s">
        <v>57</v>
      </c>
    </row>
    <row r="57" spans="1:13" x14ac:dyDescent="0.35">
      <c r="A57" s="79">
        <v>56</v>
      </c>
      <c r="B57" s="92">
        <f t="shared" si="0"/>
        <v>3136</v>
      </c>
      <c r="C57" s="92">
        <f t="shared" si="1"/>
        <v>175616</v>
      </c>
      <c r="D57" s="50">
        <v>5744.5879999999997</v>
      </c>
      <c r="E57" s="91">
        <f t="shared" si="2"/>
        <v>5834.9606523527746</v>
      </c>
      <c r="F57" s="91">
        <f t="shared" si="3"/>
        <v>90.372652352774821</v>
      </c>
      <c r="G57" s="91">
        <f t="shared" si="4"/>
        <v>90.372652352774821</v>
      </c>
      <c r="H57" s="91">
        <f>SUMSQ($G57:G57)/A57</f>
        <v>145.8431480942053</v>
      </c>
      <c r="I57" s="91">
        <f>SUM($G$2:G57)/A57</f>
        <v>255.07009758251181</v>
      </c>
      <c r="J57" s="91">
        <f t="shared" si="5"/>
        <v>1.5731790052267425</v>
      </c>
      <c r="K57" s="91">
        <f>AVERAGE($J$2:J57)</f>
        <v>6.5767343600811881</v>
      </c>
      <c r="L57" s="91">
        <f>SUM($F57:F57)/I57</f>
        <v>0.35430516242124566</v>
      </c>
      <c r="M57" s="125" t="s">
        <v>58</v>
      </c>
    </row>
    <row r="58" spans="1:13" x14ac:dyDescent="0.35">
      <c r="A58" s="78">
        <v>57</v>
      </c>
      <c r="B58" s="92">
        <f t="shared" si="0"/>
        <v>3249</v>
      </c>
      <c r="C58" s="92">
        <f t="shared" si="1"/>
        <v>185193</v>
      </c>
      <c r="D58" s="34">
        <v>6680.277</v>
      </c>
      <c r="E58" s="91">
        <f t="shared" si="2"/>
        <v>5881.4746863608798</v>
      </c>
      <c r="F58" s="91">
        <f t="shared" si="3"/>
        <v>-798.80231363912026</v>
      </c>
      <c r="G58" s="91">
        <f t="shared" si="4"/>
        <v>798.80231363912026</v>
      </c>
      <c r="H58" s="91">
        <f>SUMSQ($G58:G58)/A58</f>
        <v>11194.476075003709</v>
      </c>
      <c r="I58" s="91">
        <f>SUM($G$2:G58)/A58</f>
        <v>264.60925926771546</v>
      </c>
      <c r="J58" s="91">
        <f t="shared" si="5"/>
        <v>11.957622620126685</v>
      </c>
      <c r="K58" s="91">
        <f>AVERAGE($J$2:J58)</f>
        <v>6.6711359085030386</v>
      </c>
      <c r="L58" s="91">
        <f>SUM($F58:F58)/I58</f>
        <v>-3.0187995531590257</v>
      </c>
      <c r="M58" s="124" t="s">
        <v>59</v>
      </c>
    </row>
    <row r="59" spans="1:13" x14ac:dyDescent="0.35">
      <c r="A59" s="79">
        <v>58</v>
      </c>
      <c r="B59" s="92">
        <f t="shared" si="0"/>
        <v>3364</v>
      </c>
      <c r="C59" s="92">
        <f t="shared" si="1"/>
        <v>195112</v>
      </c>
      <c r="D59" s="50">
        <v>4965.5910000000003</v>
      </c>
      <c r="E59" s="91">
        <f t="shared" si="2"/>
        <v>5924.0735631857333</v>
      </c>
      <c r="F59" s="91">
        <f t="shared" si="3"/>
        <v>958.48256318573294</v>
      </c>
      <c r="G59" s="91">
        <f t="shared" si="4"/>
        <v>958.48256318573294</v>
      </c>
      <c r="H59" s="91">
        <f>SUMSQ($G59:G59)/A59</f>
        <v>15839.462481570561</v>
      </c>
      <c r="I59" s="91">
        <f>SUM($G$2:G59)/A59</f>
        <v>276.57259209388815</v>
      </c>
      <c r="J59" s="91">
        <f t="shared" si="5"/>
        <v>19.302487119574145</v>
      </c>
      <c r="K59" s="91">
        <f>AVERAGE($J$2:J59)</f>
        <v>6.8889178259352999</v>
      </c>
      <c r="L59" s="91">
        <f>SUM($F59:F59)/I59</f>
        <v>3.4655732006169169</v>
      </c>
      <c r="M59" s="125" t="s">
        <v>60</v>
      </c>
    </row>
    <row r="60" spans="1:13" x14ac:dyDescent="0.35">
      <c r="A60" s="78">
        <v>59</v>
      </c>
      <c r="B60" s="92">
        <f t="shared" si="0"/>
        <v>3481</v>
      </c>
      <c r="C60" s="92">
        <f t="shared" si="1"/>
        <v>205379</v>
      </c>
      <c r="D60" s="34">
        <v>5070.607</v>
      </c>
      <c r="E60" s="91">
        <f t="shared" si="2"/>
        <v>5962.5389438643379</v>
      </c>
      <c r="F60" s="91">
        <f t="shared" si="3"/>
        <v>891.93194386433788</v>
      </c>
      <c r="G60" s="91">
        <f t="shared" si="4"/>
        <v>891.93194386433788</v>
      </c>
      <c r="H60" s="91">
        <f>SUMSQ($G60:G60)/A60</f>
        <v>13483.772753993497</v>
      </c>
      <c r="I60" s="91">
        <f>SUM($G$2:G60)/A60</f>
        <v>287.00241161542124</v>
      </c>
      <c r="J60" s="91">
        <f t="shared" si="5"/>
        <v>17.590240061285321</v>
      </c>
      <c r="K60" s="91">
        <f>AVERAGE($J$2:J60)</f>
        <v>7.0702961689073343</v>
      </c>
      <c r="L60" s="91">
        <f>SUM($F60:F60)/I60</f>
        <v>3.1077506939541428</v>
      </c>
      <c r="M60" s="124" t="s">
        <v>61</v>
      </c>
    </row>
    <row r="61" spans="1:13" x14ac:dyDescent="0.35">
      <c r="A61">
        <v>60</v>
      </c>
      <c r="E61" s="135">
        <f>($P$5*POWER(A61,3))+($P$4*POWER(A61,2))+($P$3*A61)+$P$2</f>
        <v>5996.6524894336962</v>
      </c>
      <c r="M61" t="s">
        <v>1301</v>
      </c>
    </row>
    <row r="62" spans="1:13" x14ac:dyDescent="0.35">
      <c r="A62">
        <v>61</v>
      </c>
      <c r="E62" s="135">
        <f t="shared" ref="E62:E69" si="6">($P$5*POWER(A62,3))+($P$4*POWER(A62,2))+($P$3*A62)+$P$2</f>
        <v>6026.1958609308203</v>
      </c>
      <c r="M62" s="124" t="s">
        <v>1302</v>
      </c>
    </row>
    <row r="63" spans="1:13" x14ac:dyDescent="0.35">
      <c r="A63">
        <v>62</v>
      </c>
      <c r="E63" s="135">
        <f t="shared" si="6"/>
        <v>6050.9507193927129</v>
      </c>
      <c r="M63" s="125" t="s">
        <v>1303</v>
      </c>
    </row>
    <row r="64" spans="1:13" x14ac:dyDescent="0.35">
      <c r="A64">
        <v>63</v>
      </c>
      <c r="E64" s="135">
        <f t="shared" si="6"/>
        <v>6070.6987258563859</v>
      </c>
      <c r="M64" s="124" t="s">
        <v>1304</v>
      </c>
    </row>
    <row r="65" spans="1:13" x14ac:dyDescent="0.35">
      <c r="A65">
        <v>64</v>
      </c>
      <c r="E65" s="135">
        <f t="shared" si="6"/>
        <v>6085.2215413588365</v>
      </c>
      <c r="M65" s="125" t="s">
        <v>1305</v>
      </c>
    </row>
    <row r="66" spans="1:13" x14ac:dyDescent="0.35">
      <c r="A66">
        <v>65</v>
      </c>
      <c r="E66" s="135">
        <f t="shared" si="6"/>
        <v>6094.3008269370785</v>
      </c>
      <c r="M66" s="124" t="s">
        <v>1306</v>
      </c>
    </row>
    <row r="67" spans="1:13" x14ac:dyDescent="0.35">
      <c r="A67">
        <v>66</v>
      </c>
      <c r="E67" s="135">
        <f t="shared" si="6"/>
        <v>6097.7182436281128</v>
      </c>
      <c r="M67" s="125" t="s">
        <v>1307</v>
      </c>
    </row>
    <row r="68" spans="1:13" x14ac:dyDescent="0.35">
      <c r="A68">
        <v>67</v>
      </c>
      <c r="E68" s="135">
        <f t="shared" si="6"/>
        <v>6095.2554524689531</v>
      </c>
      <c r="M68" s="124" t="s">
        <v>1308</v>
      </c>
    </row>
    <row r="69" spans="1:13" x14ac:dyDescent="0.35">
      <c r="A69">
        <v>68</v>
      </c>
      <c r="E69" s="135">
        <f t="shared" si="6"/>
        <v>6086.6941144965967</v>
      </c>
      <c r="M69" s="125" t="s">
        <v>1309</v>
      </c>
    </row>
  </sheetData>
  <phoneticPr fontId="6" type="noConversion"/>
  <pageMargins left="0.7" right="0.7" top="0.75" bottom="0.75" header="0.3" footer="0.3"/>
  <drawing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02C8-36C2-4950-9DE4-13EF42BC7C7B}">
  <dimension ref="A1:I83"/>
  <sheetViews>
    <sheetView workbookViewId="0">
      <selection activeCell="B17" sqref="B17"/>
    </sheetView>
  </sheetViews>
  <sheetFormatPr baseColWidth="10" defaultRowHeight="14.5" x14ac:dyDescent="0.35"/>
  <cols>
    <col min="2" max="2" width="22.54296875" customWidth="1"/>
    <col min="6" max="6" width="17.6328125" customWidth="1"/>
  </cols>
  <sheetData>
    <row r="1" spans="1:9" x14ac:dyDescent="0.35">
      <c r="A1" t="s">
        <v>1206</v>
      </c>
    </row>
    <row r="2" spans="1:9" ht="15" thickBot="1" x14ac:dyDescent="0.4"/>
    <row r="3" spans="1:9" x14ac:dyDescent="0.35">
      <c r="A3" s="59" t="s">
        <v>1207</v>
      </c>
      <c r="B3" s="59"/>
    </row>
    <row r="4" spans="1:9" x14ac:dyDescent="0.35">
      <c r="A4" t="s">
        <v>1208</v>
      </c>
      <c r="B4">
        <v>0.87336620032287571</v>
      </c>
    </row>
    <row r="5" spans="1:9" x14ac:dyDescent="0.35">
      <c r="A5" t="s">
        <v>1209</v>
      </c>
      <c r="B5">
        <v>0.76276851986641747</v>
      </c>
    </row>
    <row r="6" spans="1:9" x14ac:dyDescent="0.35">
      <c r="A6" t="s">
        <v>1210</v>
      </c>
      <c r="B6">
        <v>0.75860656407460025</v>
      </c>
    </row>
    <row r="7" spans="1:9" x14ac:dyDescent="0.35">
      <c r="A7" t="s">
        <v>1211</v>
      </c>
      <c r="B7">
        <v>8.4386647994806001</v>
      </c>
    </row>
    <row r="8" spans="1:9" ht="15" thickBot="1" x14ac:dyDescent="0.4">
      <c r="A8" s="57" t="s">
        <v>1212</v>
      </c>
      <c r="B8" s="57">
        <v>59</v>
      </c>
    </row>
    <row r="10" spans="1:9" ht="15" thickBot="1" x14ac:dyDescent="0.4">
      <c r="A10" t="s">
        <v>1213</v>
      </c>
    </row>
    <row r="11" spans="1:9" x14ac:dyDescent="0.35">
      <c r="A11" s="58"/>
      <c r="B11" s="58" t="s">
        <v>1217</v>
      </c>
      <c r="C11" s="58" t="s">
        <v>1218</v>
      </c>
      <c r="D11" s="58" t="s">
        <v>1219</v>
      </c>
      <c r="E11" s="58" t="s">
        <v>1220</v>
      </c>
      <c r="F11" s="58" t="s">
        <v>1221</v>
      </c>
    </row>
    <row r="12" spans="1:9" x14ac:dyDescent="0.35">
      <c r="A12" t="s">
        <v>1214</v>
      </c>
      <c r="B12">
        <v>1</v>
      </c>
      <c r="C12">
        <v>13050.969374914403</v>
      </c>
      <c r="D12">
        <v>13050.969374914403</v>
      </c>
      <c r="E12">
        <v>183.27165352550975</v>
      </c>
      <c r="F12">
        <v>1.8666013900049335E-19</v>
      </c>
    </row>
    <row r="13" spans="1:9" x14ac:dyDescent="0.35">
      <c r="A13" t="s">
        <v>1215</v>
      </c>
      <c r="B13">
        <v>57</v>
      </c>
      <c r="C13">
        <v>4059.0306250855979</v>
      </c>
      <c r="D13">
        <v>71.211063597992947</v>
      </c>
    </row>
    <row r="14" spans="1:9" ht="15" thickBot="1" x14ac:dyDescent="0.4">
      <c r="A14" s="57" t="s">
        <v>1181</v>
      </c>
      <c r="B14" s="57">
        <v>58</v>
      </c>
      <c r="C14" s="57">
        <v>17110</v>
      </c>
      <c r="D14" s="57"/>
      <c r="E14" s="57"/>
      <c r="F14" s="57"/>
    </row>
    <row r="15" spans="1:9" ht="15" thickBot="1" x14ac:dyDescent="0.4"/>
    <row r="16" spans="1:9" x14ac:dyDescent="0.35">
      <c r="A16" s="58"/>
      <c r="B16" s="58" t="s">
        <v>1222</v>
      </c>
      <c r="C16" s="58" t="s">
        <v>1211</v>
      </c>
      <c r="D16" s="58" t="s">
        <v>1223</v>
      </c>
      <c r="E16" s="58" t="s">
        <v>1224</v>
      </c>
      <c r="F16" s="58" t="s">
        <v>1225</v>
      </c>
      <c r="G16" s="58" t="s">
        <v>1226</v>
      </c>
      <c r="H16" s="58" t="s">
        <v>1227</v>
      </c>
      <c r="I16" s="58" t="s">
        <v>1228</v>
      </c>
    </row>
    <row r="17" spans="1:9" x14ac:dyDescent="0.35">
      <c r="A17" t="s">
        <v>1216</v>
      </c>
      <c r="B17" s="63">
        <v>-32.723205387975625</v>
      </c>
      <c r="C17">
        <v>4.7616661674335363</v>
      </c>
      <c r="D17">
        <v>-6.8722174628241364</v>
      </c>
      <c r="E17">
        <v>5.1935023833605219E-9</v>
      </c>
      <c r="F17">
        <v>-42.258277416935869</v>
      </c>
      <c r="G17">
        <v>-23.188133359015382</v>
      </c>
      <c r="H17">
        <v>-42.258277416935869</v>
      </c>
      <c r="I17">
        <v>-23.188133359015382</v>
      </c>
    </row>
    <row r="18" spans="1:9" ht="15" thickBot="1" x14ac:dyDescent="0.4">
      <c r="A18" s="57" t="s">
        <v>1175</v>
      </c>
      <c r="B18" s="62">
        <v>1.4745379230836167E-2</v>
      </c>
      <c r="C18" s="57">
        <v>1.0892016671140529E-3</v>
      </c>
      <c r="D18" s="57">
        <v>13.537786138269052</v>
      </c>
      <c r="E18" s="57">
        <v>1.8666013900049472E-19</v>
      </c>
      <c r="F18" s="57">
        <v>1.2564290514238095E-2</v>
      </c>
      <c r="G18" s="57">
        <v>1.6926467947434239E-2</v>
      </c>
      <c r="H18" s="57">
        <v>1.2564290514238095E-2</v>
      </c>
      <c r="I18" s="57">
        <v>1.6926467947434239E-2</v>
      </c>
    </row>
    <row r="22" spans="1:9" x14ac:dyDescent="0.35">
      <c r="A22" t="s">
        <v>1229</v>
      </c>
    </row>
    <row r="23" spans="1:9" ht="15" thickBot="1" x14ac:dyDescent="0.4"/>
    <row r="24" spans="1:9" x14ac:dyDescent="0.35">
      <c r="A24" s="58" t="s">
        <v>1230</v>
      </c>
      <c r="B24" s="58" t="s">
        <v>1198</v>
      </c>
    </row>
    <row r="25" spans="1:9" x14ac:dyDescent="0.35">
      <c r="A25">
        <v>0.84745762711864403</v>
      </c>
      <c r="B25">
        <v>1</v>
      </c>
    </row>
    <row r="26" spans="1:9" x14ac:dyDescent="0.35">
      <c r="A26">
        <v>2.5423728813559321</v>
      </c>
      <c r="B26">
        <v>2</v>
      </c>
    </row>
    <row r="27" spans="1:9" x14ac:dyDescent="0.35">
      <c r="A27">
        <v>4.2372881355932197</v>
      </c>
      <c r="B27">
        <v>3</v>
      </c>
    </row>
    <row r="28" spans="1:9" x14ac:dyDescent="0.35">
      <c r="A28">
        <v>5.9322033898305087</v>
      </c>
      <c r="B28">
        <v>4</v>
      </c>
    </row>
    <row r="29" spans="1:9" x14ac:dyDescent="0.35">
      <c r="A29">
        <v>7.6271186440677958</v>
      </c>
      <c r="B29">
        <v>5</v>
      </c>
    </row>
    <row r="30" spans="1:9" x14ac:dyDescent="0.35">
      <c r="A30">
        <v>9.322033898305083</v>
      </c>
      <c r="B30">
        <v>6</v>
      </c>
    </row>
    <row r="31" spans="1:9" x14ac:dyDescent="0.35">
      <c r="A31">
        <v>11.016949152542372</v>
      </c>
      <c r="B31">
        <v>7</v>
      </c>
    </row>
    <row r="32" spans="1:9" x14ac:dyDescent="0.35">
      <c r="A32">
        <v>12.711864406779661</v>
      </c>
      <c r="B32">
        <v>8</v>
      </c>
    </row>
    <row r="33" spans="1:2" x14ac:dyDescent="0.35">
      <c r="A33">
        <v>14.406779661016948</v>
      </c>
      <c r="B33">
        <v>9</v>
      </c>
    </row>
    <row r="34" spans="1:2" x14ac:dyDescent="0.35">
      <c r="A34">
        <v>16.101694915254235</v>
      </c>
      <c r="B34">
        <v>10</v>
      </c>
    </row>
    <row r="35" spans="1:2" x14ac:dyDescent="0.35">
      <c r="A35">
        <v>17.796610169491522</v>
      </c>
      <c r="B35">
        <v>11</v>
      </c>
    </row>
    <row r="36" spans="1:2" x14ac:dyDescent="0.35">
      <c r="A36">
        <v>19.491525423728813</v>
      </c>
      <c r="B36">
        <v>12</v>
      </c>
    </row>
    <row r="37" spans="1:2" x14ac:dyDescent="0.35">
      <c r="A37">
        <v>21.1864406779661</v>
      </c>
      <c r="B37">
        <v>13</v>
      </c>
    </row>
    <row r="38" spans="1:2" x14ac:dyDescent="0.35">
      <c r="A38">
        <v>22.881355932203387</v>
      </c>
      <c r="B38">
        <v>14</v>
      </c>
    </row>
    <row r="39" spans="1:2" x14ac:dyDescent="0.35">
      <c r="A39">
        <v>24.576271186440678</v>
      </c>
      <c r="B39">
        <v>15</v>
      </c>
    </row>
    <row r="40" spans="1:2" x14ac:dyDescent="0.35">
      <c r="A40">
        <v>26.271186440677965</v>
      </c>
      <c r="B40">
        <v>16</v>
      </c>
    </row>
    <row r="41" spans="1:2" x14ac:dyDescent="0.35">
      <c r="A41">
        <v>27.966101694915253</v>
      </c>
      <c r="B41">
        <v>17</v>
      </c>
    </row>
    <row r="42" spans="1:2" x14ac:dyDescent="0.35">
      <c r="A42">
        <v>29.66101694915254</v>
      </c>
      <c r="B42">
        <v>18</v>
      </c>
    </row>
    <row r="43" spans="1:2" x14ac:dyDescent="0.35">
      <c r="A43">
        <v>31.355932203389827</v>
      </c>
      <c r="B43">
        <v>19</v>
      </c>
    </row>
    <row r="44" spans="1:2" x14ac:dyDescent="0.35">
      <c r="A44">
        <v>33.050847457627114</v>
      </c>
      <c r="B44">
        <v>20</v>
      </c>
    </row>
    <row r="45" spans="1:2" x14ac:dyDescent="0.35">
      <c r="A45">
        <v>34.745762711864401</v>
      </c>
      <c r="B45">
        <v>21</v>
      </c>
    </row>
    <row r="46" spans="1:2" x14ac:dyDescent="0.35">
      <c r="A46">
        <v>36.440677966101696</v>
      </c>
      <c r="B46">
        <v>22</v>
      </c>
    </row>
    <row r="47" spans="1:2" x14ac:dyDescent="0.35">
      <c r="A47">
        <v>38.135593220338983</v>
      </c>
      <c r="B47">
        <v>23</v>
      </c>
    </row>
    <row r="48" spans="1:2" x14ac:dyDescent="0.35">
      <c r="A48">
        <v>39.83050847457627</v>
      </c>
      <c r="B48">
        <v>24</v>
      </c>
    </row>
    <row r="49" spans="1:2" x14ac:dyDescent="0.35">
      <c r="A49">
        <v>41.525423728813557</v>
      </c>
      <c r="B49">
        <v>25</v>
      </c>
    </row>
    <row r="50" spans="1:2" x14ac:dyDescent="0.35">
      <c r="A50">
        <v>43.220338983050844</v>
      </c>
      <c r="B50">
        <v>26</v>
      </c>
    </row>
    <row r="51" spans="1:2" x14ac:dyDescent="0.35">
      <c r="A51">
        <v>44.915254237288131</v>
      </c>
      <c r="B51">
        <v>27</v>
      </c>
    </row>
    <row r="52" spans="1:2" x14ac:dyDescent="0.35">
      <c r="A52">
        <v>46.610169491525419</v>
      </c>
      <c r="B52">
        <v>28</v>
      </c>
    </row>
    <row r="53" spans="1:2" x14ac:dyDescent="0.35">
      <c r="A53">
        <v>48.305084745762713</v>
      </c>
      <c r="B53">
        <v>29</v>
      </c>
    </row>
    <row r="54" spans="1:2" x14ac:dyDescent="0.35">
      <c r="A54">
        <v>50</v>
      </c>
      <c r="B54">
        <v>30</v>
      </c>
    </row>
    <row r="55" spans="1:2" x14ac:dyDescent="0.35">
      <c r="A55">
        <v>51.694915254237287</v>
      </c>
      <c r="B55">
        <v>31</v>
      </c>
    </row>
    <row r="56" spans="1:2" x14ac:dyDescent="0.35">
      <c r="A56">
        <v>53.389830508474574</v>
      </c>
      <c r="B56">
        <v>32</v>
      </c>
    </row>
    <row r="57" spans="1:2" x14ac:dyDescent="0.35">
      <c r="A57">
        <v>55.084745762711862</v>
      </c>
      <c r="B57">
        <v>33</v>
      </c>
    </row>
    <row r="58" spans="1:2" x14ac:dyDescent="0.35">
      <c r="A58">
        <v>56.779661016949149</v>
      </c>
      <c r="B58">
        <v>34</v>
      </c>
    </row>
    <row r="59" spans="1:2" x14ac:dyDescent="0.35">
      <c r="A59">
        <v>58.474576271186436</v>
      </c>
      <c r="B59">
        <v>35</v>
      </c>
    </row>
    <row r="60" spans="1:2" x14ac:dyDescent="0.35">
      <c r="A60">
        <v>60.169491525423723</v>
      </c>
      <c r="B60">
        <v>36</v>
      </c>
    </row>
    <row r="61" spans="1:2" x14ac:dyDescent="0.35">
      <c r="A61">
        <v>61.86440677966101</v>
      </c>
      <c r="B61">
        <v>37</v>
      </c>
    </row>
    <row r="62" spans="1:2" x14ac:dyDescent="0.35">
      <c r="A62">
        <v>63.559322033898304</v>
      </c>
      <c r="B62">
        <v>38</v>
      </c>
    </row>
    <row r="63" spans="1:2" x14ac:dyDescent="0.35">
      <c r="A63">
        <v>65.254237288135585</v>
      </c>
      <c r="B63">
        <v>39</v>
      </c>
    </row>
    <row r="64" spans="1:2" x14ac:dyDescent="0.35">
      <c r="A64">
        <v>66.949152542372872</v>
      </c>
      <c r="B64">
        <v>40</v>
      </c>
    </row>
    <row r="65" spans="1:2" x14ac:dyDescent="0.35">
      <c r="A65">
        <v>68.644067796610159</v>
      </c>
      <c r="B65">
        <v>41</v>
      </c>
    </row>
    <row r="66" spans="1:2" x14ac:dyDescent="0.35">
      <c r="A66">
        <v>70.33898305084746</v>
      </c>
      <c r="B66">
        <v>42</v>
      </c>
    </row>
    <row r="67" spans="1:2" x14ac:dyDescent="0.35">
      <c r="A67">
        <v>72.033898305084747</v>
      </c>
      <c r="B67">
        <v>43</v>
      </c>
    </row>
    <row r="68" spans="1:2" x14ac:dyDescent="0.35">
      <c r="A68">
        <v>73.728813559322035</v>
      </c>
      <c r="B68">
        <v>44</v>
      </c>
    </row>
    <row r="69" spans="1:2" x14ac:dyDescent="0.35">
      <c r="A69">
        <v>75.423728813559322</v>
      </c>
      <c r="B69">
        <v>45</v>
      </c>
    </row>
    <row r="70" spans="1:2" x14ac:dyDescent="0.35">
      <c r="A70">
        <v>77.118644067796609</v>
      </c>
      <c r="B70">
        <v>46</v>
      </c>
    </row>
    <row r="71" spans="1:2" x14ac:dyDescent="0.35">
      <c r="A71">
        <v>78.813559322033896</v>
      </c>
      <c r="B71">
        <v>47</v>
      </c>
    </row>
    <row r="72" spans="1:2" x14ac:dyDescent="0.35">
      <c r="A72">
        <v>80.508474576271183</v>
      </c>
      <c r="B72">
        <v>48</v>
      </c>
    </row>
    <row r="73" spans="1:2" x14ac:dyDescent="0.35">
      <c r="A73">
        <v>82.20338983050847</v>
      </c>
      <c r="B73">
        <v>49</v>
      </c>
    </row>
    <row r="74" spans="1:2" x14ac:dyDescent="0.35">
      <c r="A74">
        <v>83.898305084745758</v>
      </c>
      <c r="B74">
        <v>50</v>
      </c>
    </row>
    <row r="75" spans="1:2" x14ac:dyDescent="0.35">
      <c r="A75">
        <v>85.593220338983045</v>
      </c>
      <c r="B75">
        <v>51</v>
      </c>
    </row>
    <row r="76" spans="1:2" x14ac:dyDescent="0.35">
      <c r="A76">
        <v>87.288135593220332</v>
      </c>
      <c r="B76">
        <v>52</v>
      </c>
    </row>
    <row r="77" spans="1:2" x14ac:dyDescent="0.35">
      <c r="A77">
        <v>88.983050847457619</v>
      </c>
      <c r="B77">
        <v>53</v>
      </c>
    </row>
    <row r="78" spans="1:2" x14ac:dyDescent="0.35">
      <c r="A78">
        <v>90.677966101694906</v>
      </c>
      <c r="B78">
        <v>54</v>
      </c>
    </row>
    <row r="79" spans="1:2" x14ac:dyDescent="0.35">
      <c r="A79">
        <v>92.372881355932194</v>
      </c>
      <c r="B79">
        <v>55</v>
      </c>
    </row>
    <row r="80" spans="1:2" x14ac:dyDescent="0.35">
      <c r="A80">
        <v>94.067796610169481</v>
      </c>
      <c r="B80">
        <v>56</v>
      </c>
    </row>
    <row r="81" spans="1:2" x14ac:dyDescent="0.35">
      <c r="A81">
        <v>95.762711864406782</v>
      </c>
      <c r="B81">
        <v>57</v>
      </c>
    </row>
    <row r="82" spans="1:2" x14ac:dyDescent="0.35">
      <c r="A82">
        <v>97.457627118644069</v>
      </c>
      <c r="B82">
        <v>58</v>
      </c>
    </row>
    <row r="83" spans="1:2" ht="15" thickBot="1" x14ac:dyDescent="0.4">
      <c r="A83" s="57">
        <v>99.152542372881356</v>
      </c>
      <c r="B83" s="57">
        <v>59</v>
      </c>
    </row>
  </sheetData>
  <sortState xmlns:xlrd2="http://schemas.microsoft.com/office/spreadsheetml/2017/richdata2" ref="B25:B83">
    <sortCondition ref="B25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F3BB-EBCF-4365-BD17-800EC2C3CE7B}">
  <dimension ref="A1:F7"/>
  <sheetViews>
    <sheetView workbookViewId="0">
      <selection activeCell="L33" sqref="L33"/>
    </sheetView>
  </sheetViews>
  <sheetFormatPr baseColWidth="10" defaultRowHeight="14.5" x14ac:dyDescent="0.35"/>
  <cols>
    <col min="1" max="1" width="18.90625" customWidth="1"/>
  </cols>
  <sheetData>
    <row r="1" spans="1:6" x14ac:dyDescent="0.35">
      <c r="A1" s="136" t="s">
        <v>1287</v>
      </c>
      <c r="B1" s="136"/>
      <c r="C1" s="136"/>
      <c r="D1" s="136"/>
      <c r="E1" s="136"/>
      <c r="F1" s="136"/>
    </row>
    <row r="2" spans="1:6" x14ac:dyDescent="0.35">
      <c r="A2" s="66" t="s">
        <v>1257</v>
      </c>
      <c r="B2" s="66" t="s">
        <v>1253</v>
      </c>
      <c r="C2" s="66" t="s">
        <v>1258</v>
      </c>
      <c r="D2" s="66" t="s">
        <v>1259</v>
      </c>
      <c r="E2" s="66" t="s">
        <v>1260</v>
      </c>
      <c r="F2" s="66" t="s">
        <v>1261</v>
      </c>
    </row>
    <row r="3" spans="1:6" x14ac:dyDescent="0.35">
      <c r="A3" s="66" t="s">
        <v>1262</v>
      </c>
      <c r="B3" s="91">
        <f>'YAUS Promedio Movil '!N6</f>
        <v>264.08944999999994</v>
      </c>
      <c r="C3" s="91">
        <f>'YAUS Promedio Movil '!O6</f>
        <v>6.5086268364262763</v>
      </c>
      <c r="D3" s="118">
        <f>'YAUS Promedio Movil '!P6</f>
        <v>-17.125164921382506</v>
      </c>
      <c r="E3" s="119">
        <f>'YAUS Promedio Movil '!Q6</f>
        <v>4.5232173682207222</v>
      </c>
      <c r="F3" s="93">
        <f>'YAUS Promedio Movil '!R6</f>
        <v>330.11181249999993</v>
      </c>
    </row>
    <row r="4" spans="1:6" x14ac:dyDescent="0.35">
      <c r="A4" s="66" t="s">
        <v>1288</v>
      </c>
      <c r="B4" s="91">
        <f>'YAUS Suav Exp. simple'!N7</f>
        <v>352.33412100058428</v>
      </c>
      <c r="C4" s="91">
        <f>'YAUS Suav Exp. simple'!O7</f>
        <v>8.7729287510314506</v>
      </c>
      <c r="D4" s="118">
        <f>'YAUS Suav Exp. simple'!P7</f>
        <v>-13.810984477647981</v>
      </c>
      <c r="E4" s="118">
        <f>'YAUS Suav Exp. simple'!Q7</f>
        <v>9.8074270069154554</v>
      </c>
      <c r="F4" s="93">
        <f>'YAUS Suav Exp. simple'!R7</f>
        <v>440.41765125073033</v>
      </c>
    </row>
    <row r="5" spans="1:6" x14ac:dyDescent="0.35">
      <c r="A5" s="66" t="s">
        <v>1289</v>
      </c>
      <c r="B5" s="91">
        <f>'YAUS Holt'!P7</f>
        <v>334.48685161581989</v>
      </c>
      <c r="C5" s="91">
        <f>'YAUS Holt'!Q7</f>
        <v>8.7121627796295549</v>
      </c>
      <c r="D5" s="118">
        <f>'YAUS Holt'!R7</f>
        <v>-6.9999999999999991</v>
      </c>
      <c r="E5" s="119">
        <f>'YAUS Holt'!S7</f>
        <v>2.6488468084894272</v>
      </c>
      <c r="F5" s="93">
        <f>'YAUS Holt'!T7</f>
        <v>418.10856451977486</v>
      </c>
    </row>
    <row r="6" spans="1:6" x14ac:dyDescent="0.35">
      <c r="A6" s="66" t="s">
        <v>1294</v>
      </c>
      <c r="B6" s="91">
        <f>'Regr. Polimial cuadrica'!O7</f>
        <v>20.826869423239042</v>
      </c>
      <c r="C6" s="91">
        <f>'Regr. Polimial cuadrica'!P7</f>
        <v>7.9403764208860741</v>
      </c>
      <c r="D6" s="118">
        <f>'Regr. Polimial cuadrica'!Q7</f>
        <v>-521.76898812789091</v>
      </c>
      <c r="E6" s="118">
        <f>'Regr. Polimial cuadrica'!R7</f>
        <v>2920.7361495895339</v>
      </c>
      <c r="F6" s="93">
        <f>'Regr. Polimial cuadrica'!S7</f>
        <v>26.033586779048804</v>
      </c>
    </row>
    <row r="7" spans="1:6" x14ac:dyDescent="0.35">
      <c r="A7" s="66" t="s">
        <v>1295</v>
      </c>
      <c r="B7" s="91">
        <f>'Regr. Polimial cubica'!P8</f>
        <v>287.00241161542124</v>
      </c>
      <c r="C7" s="91">
        <f>'Regr. Polimial cubica'!Q8</f>
        <v>7.0702961689073343</v>
      </c>
      <c r="D7" s="119">
        <f>'Regr. Polimial cubica'!R8</f>
        <v>-3.0187995531590257</v>
      </c>
      <c r="E7" s="119">
        <f>'Regr. Polimial cubica'!S8</f>
        <v>3.4655732006169169</v>
      </c>
      <c r="F7" s="93">
        <f>'Regr. Polimial cubica'!T8</f>
        <v>358.75301451927658</v>
      </c>
    </row>
  </sheetData>
  <mergeCells count="1">
    <mergeCell ref="A1:F1"/>
  </mergeCells>
  <phoneticPr fontId="6" type="noConversion"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D3C3-9DB4-4073-A248-2BDDB6723B6E}">
  <dimension ref="A1:E16"/>
  <sheetViews>
    <sheetView workbookViewId="0">
      <selection activeCell="H33" sqref="H33"/>
    </sheetView>
  </sheetViews>
  <sheetFormatPr baseColWidth="10" defaultRowHeight="14.5" x14ac:dyDescent="0.35"/>
  <sheetData>
    <row r="1" spans="1:5" x14ac:dyDescent="0.35">
      <c r="A1" s="12" t="s">
        <v>618</v>
      </c>
      <c r="B1" t="s">
        <v>1177</v>
      </c>
      <c r="C1" t="s">
        <v>1178</v>
      </c>
      <c r="D1" t="s">
        <v>1179</v>
      </c>
      <c r="E1" t="s">
        <v>1180</v>
      </c>
    </row>
    <row r="2" spans="1:5" x14ac:dyDescent="0.35">
      <c r="A2" s="11">
        <v>2005</v>
      </c>
      <c r="B2">
        <v>3071.5839999999998</v>
      </c>
      <c r="C2">
        <v>3311.9369999999999</v>
      </c>
      <c r="D2">
        <v>3211.4650000000001</v>
      </c>
      <c r="E2">
        <v>3434.0940000000001</v>
      </c>
    </row>
    <row r="3" spans="1:5" x14ac:dyDescent="0.35">
      <c r="A3" s="11">
        <v>2006</v>
      </c>
      <c r="B3">
        <v>3459.93</v>
      </c>
      <c r="C3">
        <v>3598.5219999999999</v>
      </c>
      <c r="D3">
        <v>3606.3879999999999</v>
      </c>
      <c r="E3">
        <v>2900.6509999999998</v>
      </c>
    </row>
    <row r="4" spans="1:5" x14ac:dyDescent="0.35">
      <c r="A4" s="11">
        <v>2007</v>
      </c>
      <c r="B4">
        <v>2956.471</v>
      </c>
      <c r="C4">
        <v>3054.1210000000001</v>
      </c>
      <c r="D4">
        <v>3083.0290000000005</v>
      </c>
      <c r="E4">
        <v>2115.7350000000001</v>
      </c>
    </row>
    <row r="5" spans="1:5" x14ac:dyDescent="0.35">
      <c r="A5" s="11">
        <v>2008</v>
      </c>
      <c r="B5">
        <v>2646.9360000000001</v>
      </c>
      <c r="C5">
        <v>2834.0299999999997</v>
      </c>
      <c r="D5">
        <v>3784.8679999999999</v>
      </c>
      <c r="E5">
        <v>2588.4769999999999</v>
      </c>
    </row>
    <row r="6" spans="1:5" x14ac:dyDescent="0.35">
      <c r="A6" s="11">
        <v>2009</v>
      </c>
      <c r="B6">
        <v>3664.4080000000004</v>
      </c>
      <c r="C6">
        <v>2750.83</v>
      </c>
      <c r="D6">
        <v>3906.1149999999998</v>
      </c>
      <c r="E6">
        <v>2641.9210000000003</v>
      </c>
    </row>
    <row r="7" spans="1:5" x14ac:dyDescent="0.35">
      <c r="A7" s="11">
        <v>2010</v>
      </c>
      <c r="B7">
        <v>2916.0740000000001</v>
      </c>
      <c r="C7">
        <v>2984.36</v>
      </c>
      <c r="D7">
        <v>3986.212</v>
      </c>
      <c r="E7">
        <v>3127.14</v>
      </c>
    </row>
    <row r="8" spans="1:5" x14ac:dyDescent="0.35">
      <c r="A8" s="11">
        <v>2011</v>
      </c>
      <c r="B8">
        <v>3201.1019999999999</v>
      </c>
      <c r="C8">
        <v>3374.1639999999998</v>
      </c>
      <c r="D8">
        <v>3413.1660000000002</v>
      </c>
      <c r="E8">
        <v>3500.252</v>
      </c>
    </row>
    <row r="9" spans="1:5" x14ac:dyDescent="0.35">
      <c r="A9" s="11">
        <v>2012</v>
      </c>
      <c r="B9">
        <v>3566.8969999999999</v>
      </c>
      <c r="C9">
        <v>3674.0519999999997</v>
      </c>
      <c r="D9">
        <v>3632.6410000000001</v>
      </c>
      <c r="E9">
        <v>3994.2849999999999</v>
      </c>
    </row>
    <row r="10" spans="1:5" x14ac:dyDescent="0.35">
      <c r="A10" s="11">
        <v>2013</v>
      </c>
      <c r="B10">
        <v>4043.1080000000002</v>
      </c>
      <c r="C10">
        <v>4045.5460000000003</v>
      </c>
      <c r="D10">
        <v>3919.6869999999999</v>
      </c>
      <c r="E10">
        <v>4164.3440000000001</v>
      </c>
    </row>
    <row r="11" spans="1:5" x14ac:dyDescent="0.35">
      <c r="A11" s="11">
        <v>2014</v>
      </c>
      <c r="B11">
        <v>3998.748</v>
      </c>
      <c r="C11">
        <v>4170.9520000000002</v>
      </c>
      <c r="D11">
        <v>4275.3</v>
      </c>
      <c r="E11">
        <v>4398.366</v>
      </c>
    </row>
    <row r="12" spans="1:5" x14ac:dyDescent="0.35">
      <c r="A12" s="11">
        <v>2015</v>
      </c>
      <c r="B12">
        <v>4150.5</v>
      </c>
      <c r="C12">
        <v>4381.3590000000004</v>
      </c>
      <c r="D12">
        <v>3781.83</v>
      </c>
      <c r="E12">
        <v>4720.07</v>
      </c>
    </row>
    <row r="13" spans="1:5" x14ac:dyDescent="0.35">
      <c r="A13" s="11">
        <v>2016</v>
      </c>
      <c r="B13">
        <v>4337.9179999999997</v>
      </c>
      <c r="C13">
        <v>4691.3530000000001</v>
      </c>
      <c r="D13">
        <v>4579.1219999999994</v>
      </c>
      <c r="E13">
        <v>4967.277</v>
      </c>
    </row>
    <row r="14" spans="1:5" x14ac:dyDescent="0.35">
      <c r="A14" s="11">
        <v>2017</v>
      </c>
      <c r="B14">
        <v>4924.6620000000003</v>
      </c>
      <c r="C14">
        <v>5034.451</v>
      </c>
      <c r="D14">
        <v>5272.6930000000002</v>
      </c>
      <c r="E14">
        <v>5664.3580000000002</v>
      </c>
    </row>
    <row r="15" spans="1:5" x14ac:dyDescent="0.35">
      <c r="A15" s="11">
        <v>2018</v>
      </c>
      <c r="B15">
        <v>5539.558</v>
      </c>
      <c r="C15">
        <v>5764.5069999999996</v>
      </c>
      <c r="D15">
        <v>5849.8150000000005</v>
      </c>
      <c r="E15">
        <v>5195.5879999999997</v>
      </c>
    </row>
    <row r="16" spans="1:5" x14ac:dyDescent="0.35">
      <c r="A16" s="11">
        <v>2019</v>
      </c>
      <c r="B16">
        <v>6104.277</v>
      </c>
      <c r="C16">
        <v>4345.5910000000003</v>
      </c>
      <c r="D16">
        <v>4465.607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CC984E-7FBC-4CE9-8FF2-CC4C3CA410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Fuente </vt:lpstr>
      <vt:lpstr>Data</vt:lpstr>
      <vt:lpstr>MDC</vt:lpstr>
      <vt:lpstr>Pivote UE</vt:lpstr>
      <vt:lpstr>Pivote US</vt:lpstr>
      <vt:lpstr>UE Años</vt:lpstr>
      <vt:lpstr>US Años</vt:lpstr>
      <vt:lpstr>Year UE Autocorelacion</vt:lpstr>
      <vt:lpstr>Year US Autocorelacion</vt:lpstr>
      <vt:lpstr>XQ US</vt:lpstr>
      <vt:lpstr>YQ US</vt:lpstr>
      <vt:lpstr>MDC UE</vt:lpstr>
      <vt:lpstr>MDC US</vt:lpstr>
      <vt:lpstr>MDC US YQ</vt:lpstr>
      <vt:lpstr>Year Analys US</vt:lpstr>
      <vt:lpstr>YAUS Est. Nivel y Tendencia</vt:lpstr>
      <vt:lpstr>Regre_YAUS</vt:lpstr>
      <vt:lpstr>YAUS Promedio Movil </vt:lpstr>
      <vt:lpstr>YAUS Suav Exp. simple</vt:lpstr>
      <vt:lpstr>YAUS Holt</vt:lpstr>
      <vt:lpstr>Regre. Cuadritica YAUS</vt:lpstr>
      <vt:lpstr>Regr.Cubica YAUS</vt:lpstr>
      <vt:lpstr>Regr. Polimial cuadrica</vt:lpstr>
      <vt:lpstr>Regr. Polimial cubica</vt:lpstr>
      <vt:lpstr>Reg YQ US</vt:lpstr>
      <vt:lpstr> 1 Resumen YAUS</vt:lpstr>
      <vt:lpstr>Quarter Analys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Flores</dc:creator>
  <cp:lastModifiedBy>Marcos Flores</cp:lastModifiedBy>
  <dcterms:created xsi:type="dcterms:W3CDTF">2024-06-12T02:42:42Z</dcterms:created>
  <dcterms:modified xsi:type="dcterms:W3CDTF">2024-06-19T01:59:14Z</dcterms:modified>
</cp:coreProperties>
</file>