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filterPrivacy="1"/>
  <bookViews>
    <workbookView xWindow="0" yWindow="0" windowWidth="22260" windowHeight="12645"/>
  </bookViews>
  <sheets>
    <sheet name="PAINEL PRINCIPAL" sheetId="4" r:id="rId1"/>
    <sheet name="Dados" sheetId="2" r:id="rId2"/>
    <sheet name="Contas a Receber" sheetId="3" r:id="rId3"/>
    <sheet name="Contas a Pagar" sheetId="5" r:id="rId4"/>
    <sheet name="GRÁFICOS" sheetId="6" r:id="rId5"/>
    <sheet name="Calcula Financiamento" sheetId="7" r:id="rId6"/>
  </sheets>
  <externalReferences>
    <externalReference r:id="rId7"/>
  </externalReferences>
  <definedNames>
    <definedName name="_xlnm._FilterDatabase" localSheetId="2" hidden="1">'Contas a Receber'!$C$4:$O$40</definedName>
    <definedName name="confirmacao_cp">'Contas a Pagar'!$J$5:$J$40</definedName>
    <definedName name="mes_cp">'Contas a Pagar'!$L$5:$L$40</definedName>
    <definedName name="mes_pagar" localSheetId="5">'[1]Contas a Pagar'!$L$5:$L$30</definedName>
    <definedName name="pago" localSheetId="5">[1]GRÁFICOS!$P$28</definedName>
    <definedName name="plano_cp">'Contas a Pagar'!$G$5:$G$40</definedName>
    <definedName name="plano_pagar" localSheetId="5">'[1]Contas a Pagar'!$G$5:$G$30</definedName>
    <definedName name="recebido" localSheetId="5">[1]GRÁFICOS!$P$12</definedName>
    <definedName name="valor_cp">'Contas a Pagar'!$I$5:$I$40</definedName>
    <definedName name="Valor_Pagar" localSheetId="5">'[1]Contas a Pagar'!$I$5:$I$30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4" l="1"/>
  <c r="Q5" i="4"/>
  <c r="Q9" i="4"/>
  <c r="Q6" i="4"/>
  <c r="Q7" i="4"/>
  <c r="Q8" i="4"/>
  <c r="Q4" i="4"/>
  <c r="D8" i="7" l="1"/>
  <c r="D9" i="7" s="1"/>
  <c r="E13" i="6"/>
  <c r="F13" i="6"/>
  <c r="G13" i="6"/>
  <c r="H13" i="6"/>
  <c r="I13" i="6"/>
  <c r="J13" i="6"/>
  <c r="K13" i="6"/>
  <c r="L13" i="6"/>
  <c r="M13" i="6"/>
  <c r="N13" i="6"/>
  <c r="O13" i="6"/>
  <c r="E14" i="6"/>
  <c r="F14" i="6"/>
  <c r="G14" i="6"/>
  <c r="H14" i="6"/>
  <c r="I14" i="6"/>
  <c r="J14" i="6"/>
  <c r="K14" i="6"/>
  <c r="L14" i="6"/>
  <c r="M14" i="6"/>
  <c r="N14" i="6"/>
  <c r="O14" i="6"/>
  <c r="E15" i="6"/>
  <c r="F15" i="6"/>
  <c r="G15" i="6"/>
  <c r="H15" i="6"/>
  <c r="I15" i="6"/>
  <c r="J15" i="6"/>
  <c r="K15" i="6"/>
  <c r="L15" i="6"/>
  <c r="M15" i="6"/>
  <c r="N15" i="6"/>
  <c r="O15" i="6"/>
  <c r="E16" i="6"/>
  <c r="F16" i="6"/>
  <c r="G16" i="6"/>
  <c r="H16" i="6"/>
  <c r="I16" i="6"/>
  <c r="J16" i="6"/>
  <c r="K16" i="6"/>
  <c r="L16" i="6"/>
  <c r="M16" i="6"/>
  <c r="N16" i="6"/>
  <c r="O16" i="6"/>
  <c r="E17" i="6"/>
  <c r="F17" i="6"/>
  <c r="G17" i="6"/>
  <c r="H17" i="6"/>
  <c r="I17" i="6"/>
  <c r="J17" i="6"/>
  <c r="K17" i="6"/>
  <c r="L17" i="6"/>
  <c r="M17" i="6"/>
  <c r="N17" i="6"/>
  <c r="O17" i="6"/>
  <c r="E18" i="6"/>
  <c r="F18" i="6"/>
  <c r="G18" i="6"/>
  <c r="H18" i="6"/>
  <c r="I18" i="6"/>
  <c r="J18" i="6"/>
  <c r="K18" i="6"/>
  <c r="L18" i="6"/>
  <c r="M18" i="6"/>
  <c r="N18" i="6"/>
  <c r="O18" i="6"/>
  <c r="E19" i="6"/>
  <c r="F19" i="6"/>
  <c r="G19" i="6"/>
  <c r="H19" i="6"/>
  <c r="I19" i="6"/>
  <c r="J19" i="6"/>
  <c r="K19" i="6"/>
  <c r="L19" i="6"/>
  <c r="M19" i="6"/>
  <c r="N19" i="6"/>
  <c r="O19" i="6"/>
  <c r="E20" i="6"/>
  <c r="F20" i="6"/>
  <c r="G20" i="6"/>
  <c r="H20" i="6"/>
  <c r="I20" i="6"/>
  <c r="J20" i="6"/>
  <c r="K20" i="6"/>
  <c r="L20" i="6"/>
  <c r="M20" i="6"/>
  <c r="N20" i="6"/>
  <c r="O20" i="6"/>
  <c r="E21" i="6"/>
  <c r="F21" i="6"/>
  <c r="G21" i="6"/>
  <c r="H21" i="6"/>
  <c r="I21" i="6"/>
  <c r="J21" i="6"/>
  <c r="K21" i="6"/>
  <c r="L21" i="6"/>
  <c r="M21" i="6"/>
  <c r="N21" i="6"/>
  <c r="O21" i="6"/>
  <c r="E22" i="6"/>
  <c r="F22" i="6"/>
  <c r="G22" i="6"/>
  <c r="H22" i="6"/>
  <c r="I22" i="6"/>
  <c r="J22" i="6"/>
  <c r="K22" i="6"/>
  <c r="L22" i="6"/>
  <c r="M22" i="6"/>
  <c r="N22" i="6"/>
  <c r="O22" i="6"/>
  <c r="E23" i="6"/>
  <c r="F23" i="6"/>
  <c r="G23" i="6"/>
  <c r="H23" i="6"/>
  <c r="I23" i="6"/>
  <c r="J23" i="6"/>
  <c r="K23" i="6"/>
  <c r="L23" i="6"/>
  <c r="M23" i="6"/>
  <c r="N23" i="6"/>
  <c r="O23" i="6"/>
  <c r="E24" i="6"/>
  <c r="F24" i="6"/>
  <c r="G24" i="6"/>
  <c r="H24" i="6"/>
  <c r="I24" i="6"/>
  <c r="J24" i="6"/>
  <c r="K24" i="6"/>
  <c r="L24" i="6"/>
  <c r="M24" i="6"/>
  <c r="N24" i="6"/>
  <c r="O24" i="6"/>
  <c r="E25" i="6"/>
  <c r="F25" i="6"/>
  <c r="G25" i="6"/>
  <c r="H25" i="6"/>
  <c r="I25" i="6"/>
  <c r="J25" i="6"/>
  <c r="K25" i="6"/>
  <c r="L25" i="6"/>
  <c r="M25" i="6"/>
  <c r="N25" i="6"/>
  <c r="O25" i="6"/>
  <c r="E26" i="6"/>
  <c r="F26" i="6"/>
  <c r="G26" i="6"/>
  <c r="H26" i="6"/>
  <c r="I26" i="6"/>
  <c r="J26" i="6"/>
  <c r="K26" i="6"/>
  <c r="L26" i="6"/>
  <c r="M26" i="6"/>
  <c r="N26" i="6"/>
  <c r="O26" i="6"/>
  <c r="E27" i="6"/>
  <c r="F27" i="6"/>
  <c r="G27" i="6"/>
  <c r="H27" i="6"/>
  <c r="I27" i="6"/>
  <c r="J27" i="6"/>
  <c r="K27" i="6"/>
  <c r="L27" i="6"/>
  <c r="M27" i="6"/>
  <c r="N27" i="6"/>
  <c r="O27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13" i="6"/>
  <c r="D6" i="6"/>
  <c r="D7" i="6"/>
  <c r="D8" i="6"/>
  <c r="D9" i="6"/>
  <c r="D12" i="6" s="1"/>
  <c r="D10" i="6"/>
  <c r="D11" i="6"/>
  <c r="E6" i="6"/>
  <c r="E12" i="6" s="1"/>
  <c r="F6" i="6"/>
  <c r="F12" i="6" s="1"/>
  <c r="G6" i="6"/>
  <c r="G12" i="6" s="1"/>
  <c r="H6" i="6"/>
  <c r="I6" i="6"/>
  <c r="I12" i="6" s="1"/>
  <c r="J6" i="6"/>
  <c r="J12" i="6" s="1"/>
  <c r="K6" i="6"/>
  <c r="K12" i="6" s="1"/>
  <c r="L6" i="6"/>
  <c r="M6" i="6"/>
  <c r="M12" i="6" s="1"/>
  <c r="N6" i="6"/>
  <c r="N12" i="6" s="1"/>
  <c r="O6" i="6"/>
  <c r="O12" i="6" s="1"/>
  <c r="E7" i="6"/>
  <c r="F7" i="6"/>
  <c r="G7" i="6"/>
  <c r="H7" i="6"/>
  <c r="I7" i="6"/>
  <c r="J7" i="6"/>
  <c r="K7" i="6"/>
  <c r="L7" i="6"/>
  <c r="M7" i="6"/>
  <c r="N7" i="6"/>
  <c r="O7" i="6"/>
  <c r="E8" i="6"/>
  <c r="F8" i="6"/>
  <c r="G8" i="6"/>
  <c r="H8" i="6"/>
  <c r="H12" i="6" s="1"/>
  <c r="I8" i="6"/>
  <c r="J8" i="6"/>
  <c r="K8" i="6"/>
  <c r="L8" i="6"/>
  <c r="L12" i="6" s="1"/>
  <c r="M8" i="6"/>
  <c r="N8" i="6"/>
  <c r="O8" i="6"/>
  <c r="E9" i="6"/>
  <c r="F9" i="6"/>
  <c r="G9" i="6"/>
  <c r="H9" i="6"/>
  <c r="I9" i="6"/>
  <c r="J9" i="6"/>
  <c r="K9" i="6"/>
  <c r="L9" i="6"/>
  <c r="M9" i="6"/>
  <c r="N9" i="6"/>
  <c r="O9" i="6"/>
  <c r="E10" i="6"/>
  <c r="F10" i="6"/>
  <c r="G10" i="6"/>
  <c r="H10" i="6"/>
  <c r="I10" i="6"/>
  <c r="J10" i="6"/>
  <c r="K10" i="6"/>
  <c r="L10" i="6"/>
  <c r="M10" i="6"/>
  <c r="N10" i="6"/>
  <c r="O10" i="6"/>
  <c r="E11" i="6"/>
  <c r="F11" i="6"/>
  <c r="G11" i="6"/>
  <c r="H11" i="6"/>
  <c r="I11" i="6"/>
  <c r="J11" i="6"/>
  <c r="K11" i="6"/>
  <c r="L11" i="6"/>
  <c r="M11" i="6"/>
  <c r="N11" i="6"/>
  <c r="O11" i="6"/>
  <c r="L29" i="5"/>
  <c r="L33" i="5"/>
  <c r="L37" i="5"/>
  <c r="L30" i="5"/>
  <c r="L34" i="5"/>
  <c r="L38" i="5"/>
  <c r="L26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7" i="5"/>
  <c r="L28" i="5"/>
  <c r="L31" i="5"/>
  <c r="L32" i="5"/>
  <c r="L35" i="5"/>
  <c r="L36" i="5"/>
  <c r="L39" i="5"/>
  <c r="L40" i="5"/>
  <c r="M5" i="3" l="1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N21" i="5" l="1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5" i="5"/>
  <c r="P5" i="4" s="1"/>
  <c r="N6" i="5"/>
  <c r="N7" i="5"/>
  <c r="O28" i="6"/>
  <c r="N28" i="6"/>
  <c r="L28" i="6"/>
  <c r="K28" i="6"/>
  <c r="J28" i="6"/>
  <c r="H28" i="6"/>
  <c r="G28" i="6"/>
  <c r="F28" i="6"/>
  <c r="D28" i="6"/>
  <c r="P11" i="6"/>
  <c r="P10" i="6"/>
  <c r="P9" i="6"/>
  <c r="P8" i="6"/>
  <c r="P7" i="6"/>
  <c r="P12" i="6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P4" i="4" l="1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E28" i="6"/>
  <c r="I28" i="6"/>
  <c r="M28" i="6"/>
  <c r="P6" i="6"/>
  <c r="P13" i="6"/>
  <c r="P28" i="6" l="1"/>
  <c r="O5" i="3" l="1"/>
  <c r="P7" i="4" s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P6" i="4" l="1"/>
  <c r="P9" i="4" s="1"/>
</calcChain>
</file>

<file path=xl/sharedStrings.xml><?xml version="1.0" encoding="utf-8"?>
<sst xmlns="http://schemas.openxmlformats.org/spreadsheetml/2006/main" count="602" uniqueCount="141">
  <si>
    <t>2 - CONFIGURAÇÕES</t>
  </si>
  <si>
    <t>1 - RECEITAS</t>
  </si>
  <si>
    <t>2 - DESPESAS</t>
  </si>
  <si>
    <t>1.01 - ALUGUEIS ATIVO</t>
  </si>
  <si>
    <t>1.02 - DESCONTOS OBTIDOS</t>
  </si>
  <si>
    <t>1.03 - JUROS ATIVOS</t>
  </si>
  <si>
    <t>1.04 - RECEITAS EVENTUAIS</t>
  </si>
  <si>
    <t>1.05 - RECEITAS DE PRODUTOS</t>
  </si>
  <si>
    <t>1.06 - RECEITAS DE SERVIÇOS</t>
  </si>
  <si>
    <t>2.01 - AGUA E ESGOTO</t>
  </si>
  <si>
    <t>2.02 - ALUGUEIS PASSIVOS</t>
  </si>
  <si>
    <t>2.03 - CAFÉ E LANCHES</t>
  </si>
  <si>
    <t>2.04 - COMBUSTÍVEIS</t>
  </si>
  <si>
    <t>2.05 - DESCONTOS CONCEDIDOS</t>
  </si>
  <si>
    <t>2.06 - DESPESAS BANCARIAS</t>
  </si>
  <si>
    <t>2.07 - ENERGIA ELÉTRICA</t>
  </si>
  <si>
    <t>2.08 - FRETES E CARRETOS</t>
  </si>
  <si>
    <t>2.09 - IMPOSTOS E TAXAS</t>
  </si>
  <si>
    <t>2.10 - JUROS PASSIVOS</t>
  </si>
  <si>
    <t>2.11 - MATERIAL DE EXPEDIENTE</t>
  </si>
  <si>
    <t>2.12 - MATERIAL DE LIMPEZA</t>
  </si>
  <si>
    <t>2.13 - SERVIÇOS TERCEIROS</t>
  </si>
  <si>
    <t>2.14 - TELEFONES</t>
  </si>
  <si>
    <t>2.15 - DESPESAS EVENTUAIS</t>
  </si>
  <si>
    <t>Banco</t>
  </si>
  <si>
    <t>Forma Pag/Rec</t>
  </si>
  <si>
    <t>Produtos</t>
  </si>
  <si>
    <t>BRASIL</t>
  </si>
  <si>
    <t>ITAU</t>
  </si>
  <si>
    <t>SANTANDER</t>
  </si>
  <si>
    <t>BRADESCO</t>
  </si>
  <si>
    <t>CAIXINHA</t>
  </si>
  <si>
    <t>DINHEIRO</t>
  </si>
  <si>
    <t>CHEQUE</t>
  </si>
  <si>
    <t>CARTÃO CRÉDITO</t>
  </si>
  <si>
    <t>CARTÃO DÉBITO</t>
  </si>
  <si>
    <t>DEPOSITO BANCÁRIO</t>
  </si>
  <si>
    <t>CORTE CABELO</t>
  </si>
  <si>
    <t>CORTE BARBA</t>
  </si>
  <si>
    <t>BARBA + CABELO</t>
  </si>
  <si>
    <t>VALOR</t>
  </si>
  <si>
    <t>DESENHO BARBA</t>
  </si>
  <si>
    <t>DIA DO NOIVO</t>
  </si>
  <si>
    <t>SELAGEM</t>
  </si>
  <si>
    <t>ALISAMENTO</t>
  </si>
  <si>
    <t>LUZES</t>
  </si>
  <si>
    <t>LOÇÃO</t>
  </si>
  <si>
    <t>PASTA</t>
  </si>
  <si>
    <t>GEL</t>
  </si>
  <si>
    <t>3 - Contas a Receber</t>
  </si>
  <si>
    <t>Vencimento</t>
  </si>
  <si>
    <t>Documento</t>
  </si>
  <si>
    <t>Produto</t>
  </si>
  <si>
    <t>Cliente</t>
  </si>
  <si>
    <t>Plano de Contas</t>
  </si>
  <si>
    <t>Descrição Contas a Receber</t>
  </si>
  <si>
    <t>Valor</t>
  </si>
  <si>
    <t>Recebido? (S)</t>
  </si>
  <si>
    <t>Data de Recebimento</t>
  </si>
  <si>
    <t>Status</t>
  </si>
  <si>
    <t>1 - PAINEL PRINCIPAL</t>
  </si>
  <si>
    <t>ANO BASE 2017</t>
  </si>
  <si>
    <t>TOTAL PAGO</t>
  </si>
  <si>
    <t>TOTAL A PAGAR</t>
  </si>
  <si>
    <t>TOTAL RECEBIDO</t>
  </si>
  <si>
    <t>TOTAL A RECEBER</t>
  </si>
  <si>
    <t>LUCRO TOTAL</t>
  </si>
  <si>
    <t>4 - CONTAS A PAGAR</t>
  </si>
  <si>
    <t>Fornecedor</t>
  </si>
  <si>
    <t>Descrição da Conta a Pagar</t>
  </si>
  <si>
    <t>Paga? (S)</t>
  </si>
  <si>
    <t>MÊS</t>
  </si>
  <si>
    <t>Data Pagamento</t>
  </si>
  <si>
    <t>1234</t>
  </si>
  <si>
    <t>MÁRCIO ROSA</t>
  </si>
  <si>
    <t>AGUA</t>
  </si>
  <si>
    <t>S</t>
  </si>
  <si>
    <t>34234</t>
  </si>
  <si>
    <t>ALUGUEIS</t>
  </si>
  <si>
    <t>2342</t>
  </si>
  <si>
    <t>CAFÉ</t>
  </si>
  <si>
    <t>COMBUSTÍVEIS</t>
  </si>
  <si>
    <t>456</t>
  </si>
  <si>
    <t>DESCONTOS</t>
  </si>
  <si>
    <t>565</t>
  </si>
  <si>
    <t>678</t>
  </si>
  <si>
    <t>43</t>
  </si>
  <si>
    <t>SANTADER</t>
  </si>
  <si>
    <t>970</t>
  </si>
  <si>
    <t>7656</t>
  </si>
  <si>
    <t>345</t>
  </si>
  <si>
    <t>234</t>
  </si>
  <si>
    <t>567</t>
  </si>
  <si>
    <t>987</t>
  </si>
  <si>
    <t>DESPESAS</t>
  </si>
  <si>
    <t>876</t>
  </si>
  <si>
    <t>098</t>
  </si>
  <si>
    <t>5 - GRÁFICOS</t>
  </si>
  <si>
    <t>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</si>
  <si>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</si>
  <si>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</si>
  <si>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</si>
  <si>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</si>
  <si>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</si>
  <si>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</si>
  <si>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</si>
  <si>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</si>
  <si>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</si>
  <si>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</si>
  <si>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</si>
  <si>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</si>
  <si>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</si>
  <si>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</si>
  <si>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</si>
  <si>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</si>
  <si>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</si>
  <si>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</si>
  <si>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</si>
  <si>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</si>
  <si>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</si>
  <si>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</si>
  <si>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</si>
  <si>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</si>
  <si>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</si>
  <si>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6 - CALCULADORA DE FINANCIAMENTOS</t>
  </si>
  <si>
    <t>INFORMAÇÕES</t>
  </si>
  <si>
    <t>DADOS</t>
  </si>
  <si>
    <t>VALOR FINANCIADO</t>
  </si>
  <si>
    <t>TAXA MENSAL</t>
  </si>
  <si>
    <t>PARCELAS</t>
  </si>
  <si>
    <t>VALOR PARCELAS&gt;&gt;</t>
  </si>
  <si>
    <t>TOTAL DIVIDA&gt;&gt;</t>
  </si>
  <si>
    <t>LEONARDO</t>
  </si>
  <si>
    <t>NELSON</t>
  </si>
  <si>
    <t>GABRIEL</t>
  </si>
  <si>
    <t>SUELEN</t>
  </si>
  <si>
    <t>WILLIAM</t>
  </si>
  <si>
    <t>QTD VENDAS</t>
  </si>
  <si>
    <t>CORTE</t>
  </si>
  <si>
    <t>OUTROS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</si>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</sst>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164" formatCode="&quot;R$&quot;\ #,##0.00"/>
    <numFmt numFmtId="165" formatCode="&quot;R$&quot;\ #,##0"/>
    <numFmt numFmtId="166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261827"/>
        <bgColor indexed="64"/>
      </patternFill>
    </fill>
    <fill>
      <patternFill patternType="solid">
        <fgColor rgb="FF966C4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15467A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D5BDA7"/>
        <bgColor indexed="64"/>
      </patternFill>
    </fill>
  </fills>
  <borders count="7">
    <border>
      <left/>
      <right/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5">
    <xf numFmtId="0" fontId="0" fillId="0" borderId="0" xfId="0"/>
    <xf numFmtId="0" fontId="4" fillId="3" borderId="0" xfId="0" applyFont="1" applyFill="1"/>
    <xf numFmtId="0" fontId="4" fillId="3" borderId="1" xfId="0" applyFont="1" applyFill="1" applyBorder="1"/>
    <xf numFmtId="14" fontId="0" fillId="0" borderId="0" xfId="0" applyNumberFormat="1"/>
    <xf numFmtId="14" fontId="4" fillId="3" borderId="1" xfId="0" applyNumberFormat="1" applyFont="1" applyFill="1" applyBorder="1"/>
    <xf numFmtId="164" fontId="0" fillId="0" borderId="0" xfId="0" applyNumberFormat="1"/>
    <xf numFmtId="164" fontId="4" fillId="3" borderId="1" xfId="0" applyNumberFormat="1" applyFont="1" applyFill="1" applyBorder="1"/>
    <xf numFmtId="0" fontId="1" fillId="0" borderId="0" xfId="0" applyFont="1"/>
    <xf numFmtId="0" fontId="1" fillId="0" borderId="3" xfId="0" applyFont="1" applyBorder="1"/>
    <xf numFmtId="165" fontId="1" fillId="0" borderId="3" xfId="0" applyNumberFormat="1" applyFont="1" applyBorder="1"/>
    <xf numFmtId="0" fontId="1" fillId="5" borderId="0" xfId="0" applyFont="1" applyFill="1"/>
    <xf numFmtId="0" fontId="1" fillId="6" borderId="0" xfId="0" applyFont="1" applyFill="1"/>
    <xf numFmtId="0" fontId="5" fillId="7" borderId="4" xfId="0" applyFont="1" applyFill="1" applyBorder="1" applyAlignment="1">
      <alignment horizontal="left" vertical="center" indent="1"/>
    </xf>
    <xf numFmtId="0" fontId="5" fillId="7" borderId="4" xfId="0" applyFont="1" applyFill="1" applyBorder="1" applyAlignment="1">
      <alignment horizontal="center" vertical="center"/>
    </xf>
    <xf numFmtId="0" fontId="4" fillId="3" borderId="5" xfId="0" applyFont="1" applyFill="1" applyBorder="1"/>
    <xf numFmtId="0" fontId="4" fillId="3" borderId="6" xfId="0" applyFont="1" applyFill="1" applyBorder="1"/>
    <xf numFmtId="165" fontId="6" fillId="8" borderId="4" xfId="0" applyNumberFormat="1" applyFont="1" applyFill="1" applyBorder="1" applyAlignment="1">
      <alignment horizontal="center" vertical="center"/>
    </xf>
    <xf numFmtId="14" fontId="0" fillId="8" borderId="2" xfId="0" applyNumberFormat="1" applyFill="1" applyBorder="1"/>
    <xf numFmtId="0" fontId="0" fillId="8" borderId="2" xfId="0" applyFill="1" applyBorder="1"/>
    <xf numFmtId="164" fontId="0" fillId="8" borderId="2" xfId="0" applyNumberFormat="1" applyFill="1" applyBorder="1"/>
    <xf numFmtId="0" fontId="0" fillId="8" borderId="1" xfId="0" applyFill="1" applyBorder="1"/>
    <xf numFmtId="0" fontId="2" fillId="8" borderId="1" xfId="0" applyFont="1" applyFill="1" applyBorder="1"/>
    <xf numFmtId="0" fontId="2" fillId="8" borderId="2" xfId="0" applyFont="1" applyFill="1" applyBorder="1"/>
    <xf numFmtId="44" fontId="0" fillId="8" borderId="1" xfId="1" applyFont="1" applyFill="1" applyBorder="1"/>
    <xf numFmtId="44" fontId="0" fillId="8" borderId="2" xfId="1" applyFont="1" applyFill="1" applyBorder="1"/>
    <xf numFmtId="0" fontId="5" fillId="3" borderId="1" xfId="0" applyFont="1" applyFill="1" applyBorder="1"/>
    <xf numFmtId="0" fontId="4" fillId="3" borderId="1" xfId="0" applyFont="1" applyFill="1" applyBorder="1" applyAlignment="1">
      <alignment horizontal="right"/>
    </xf>
    <xf numFmtId="0" fontId="1" fillId="8" borderId="0" xfId="0" applyFont="1" applyFill="1"/>
    <xf numFmtId="164" fontId="6" fillId="8" borderId="4" xfId="0" applyNumberFormat="1" applyFont="1" applyFill="1" applyBorder="1" applyAlignment="1" applyProtection="1">
      <alignment horizontal="center" vertical="center"/>
      <protection locked="0"/>
    </xf>
    <xf numFmtId="166" fontId="6" fillId="8" borderId="4" xfId="2" applyNumberFormat="1" applyFont="1" applyFill="1" applyBorder="1" applyAlignment="1" applyProtection="1">
      <alignment horizontal="center" vertical="center"/>
      <protection locked="0"/>
    </xf>
    <xf numFmtId="0" fontId="6" fillId="8" borderId="4" xfId="0" applyNumberFormat="1" applyFont="1" applyFill="1" applyBorder="1" applyAlignment="1" applyProtection="1">
      <alignment horizontal="center" vertical="center"/>
      <protection locked="0"/>
    </xf>
    <xf numFmtId="0" fontId="4" fillId="3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0" fillId="4" borderId="0" xfId="0" applyFill="1" applyAlignment="1">
      <alignment horizontal="center"/>
    </xf>
    <xf numFmtId="0" fontId="4" fillId="2" borderId="0" xfId="0" applyFont="1" applyFill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6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7"/>
        </patternFill>
      </fill>
    </dxf>
  </dxfs>
  <tableStyles count="0" defaultTableStyle="TableStyleMedium2" defaultPivotStyle="PivotStyleLight16"/>
  <colors>
    <mruColors>
      <color rgb="FFD5BDA7"/>
      <color rgb="FF966C46"/>
      <color rgb="FFC8A88A"/>
      <color rgb="FF2618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DESPESA</a:t>
            </a:r>
            <a:r>
              <a:rPr lang="pt-BR" baseline="0"/>
              <a:t>S X RECEITA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GRÁFICOS!$C$12</c:f>
              <c:strCache>
                <c:ptCount val="1"/>
                <c:pt idx="0">
                  <c:v>TOTAL RECEBIDO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GRÁFICOS!$D$4:$O$4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GRÁFICOS!$D$12:$O$12</c:f>
              <c:numCache>
                <c:formatCode>"R$"\ #,##0</c:formatCode>
                <c:ptCount val="12"/>
                <c:pt idx="0">
                  <c:v>25</c:v>
                </c:pt>
                <c:pt idx="1">
                  <c:v>95</c:v>
                </c:pt>
                <c:pt idx="2">
                  <c:v>35</c:v>
                </c:pt>
                <c:pt idx="3">
                  <c:v>175</c:v>
                </c:pt>
                <c:pt idx="4">
                  <c:v>190</c:v>
                </c:pt>
                <c:pt idx="5">
                  <c:v>65</c:v>
                </c:pt>
                <c:pt idx="6">
                  <c:v>135</c:v>
                </c:pt>
                <c:pt idx="7">
                  <c:v>45</c:v>
                </c:pt>
                <c:pt idx="8">
                  <c:v>305</c:v>
                </c:pt>
                <c:pt idx="9">
                  <c:v>0</c:v>
                </c:pt>
                <c:pt idx="10">
                  <c:v>90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98-407F-981B-FE378D7CA8DE}"/>
            </c:ext>
          </c:extLst>
        </c:ser>
        <c:ser>
          <c:idx val="1"/>
          <c:order val="1"/>
          <c:tx>
            <c:strRef>
              <c:f>GRÁFICOS!$C$28</c:f>
              <c:strCache>
                <c:ptCount val="1"/>
                <c:pt idx="0">
                  <c:v>TOTAL PAGO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GRÁFICOS!$D$4:$O$4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GRÁFICOS!$D$28:$O$28</c:f>
              <c:numCache>
                <c:formatCode>"R$"\ #,##0</c:formatCode>
                <c:ptCount val="12"/>
                <c:pt idx="0">
                  <c:v>2530</c:v>
                </c:pt>
                <c:pt idx="1">
                  <c:v>3262</c:v>
                </c:pt>
                <c:pt idx="2">
                  <c:v>2946</c:v>
                </c:pt>
                <c:pt idx="3">
                  <c:v>688</c:v>
                </c:pt>
                <c:pt idx="4">
                  <c:v>577</c:v>
                </c:pt>
                <c:pt idx="5">
                  <c:v>3720</c:v>
                </c:pt>
                <c:pt idx="6">
                  <c:v>2323</c:v>
                </c:pt>
                <c:pt idx="7">
                  <c:v>2700</c:v>
                </c:pt>
                <c:pt idx="8">
                  <c:v>792</c:v>
                </c:pt>
                <c:pt idx="9">
                  <c:v>939</c:v>
                </c:pt>
                <c:pt idx="10">
                  <c:v>2182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98-407F-981B-FE378D7CA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432280"/>
        <c:axId val="436435560"/>
      </c:barChart>
      <c:catAx>
        <c:axId val="43643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6435560"/>
        <c:crosses val="autoZero"/>
        <c:auto val="1"/>
        <c:lblAlgn val="ctr"/>
        <c:lblOffset val="100"/>
        <c:noMultiLvlLbl val="0"/>
      </c:catAx>
      <c:valAx>
        <c:axId val="43643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6432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ados!A1"/><Relationship Id="rId3" Type="http://schemas.openxmlformats.org/officeDocument/2006/relationships/image" Target="../media/image3.jpeg"/><Relationship Id="rId7" Type="http://schemas.openxmlformats.org/officeDocument/2006/relationships/hyperlink" Target="#GR&#193;FICOS!A1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hyperlink" Target="#'Contas a Pagar'!A1"/><Relationship Id="rId5" Type="http://schemas.openxmlformats.org/officeDocument/2006/relationships/hyperlink" Target="#'Contas a Receber'!A1"/><Relationship Id="rId4" Type="http://schemas.openxmlformats.org/officeDocument/2006/relationships/hyperlink" Target="#'PAINEL PRINCIPAL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Contas a Receber'!A1"/><Relationship Id="rId2" Type="http://schemas.openxmlformats.org/officeDocument/2006/relationships/hyperlink" Target="#'PAINEL PRINCIPAL'!A1"/><Relationship Id="rId1" Type="http://schemas.openxmlformats.org/officeDocument/2006/relationships/image" Target="../media/image3.jpeg"/><Relationship Id="rId6" Type="http://schemas.openxmlformats.org/officeDocument/2006/relationships/hyperlink" Target="#Dados!A1"/><Relationship Id="rId5" Type="http://schemas.openxmlformats.org/officeDocument/2006/relationships/hyperlink" Target="#GR&#193;FICOS!A1"/><Relationship Id="rId4" Type="http://schemas.openxmlformats.org/officeDocument/2006/relationships/hyperlink" Target="#'Contas a Pagar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Contas a Receber'!A1"/><Relationship Id="rId2" Type="http://schemas.openxmlformats.org/officeDocument/2006/relationships/hyperlink" Target="#'PAINEL PRINCIPAL'!A1"/><Relationship Id="rId1" Type="http://schemas.openxmlformats.org/officeDocument/2006/relationships/image" Target="../media/image3.jpeg"/><Relationship Id="rId6" Type="http://schemas.openxmlformats.org/officeDocument/2006/relationships/hyperlink" Target="#Dados!A1"/><Relationship Id="rId5" Type="http://schemas.openxmlformats.org/officeDocument/2006/relationships/hyperlink" Target="#GR&#193;FICOS!A1"/><Relationship Id="rId4" Type="http://schemas.openxmlformats.org/officeDocument/2006/relationships/hyperlink" Target="#'Contas a Pagar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Contas a Receber'!A1"/><Relationship Id="rId2" Type="http://schemas.openxmlformats.org/officeDocument/2006/relationships/hyperlink" Target="#'PAINEL PRINCIPAL'!A1"/><Relationship Id="rId1" Type="http://schemas.openxmlformats.org/officeDocument/2006/relationships/image" Target="../media/image3.jpeg"/><Relationship Id="rId6" Type="http://schemas.openxmlformats.org/officeDocument/2006/relationships/hyperlink" Target="#Dados!A1"/><Relationship Id="rId5" Type="http://schemas.openxmlformats.org/officeDocument/2006/relationships/hyperlink" Target="#GR&#193;FICOS!A1"/><Relationship Id="rId4" Type="http://schemas.openxmlformats.org/officeDocument/2006/relationships/hyperlink" Target="#'Contas a Pagar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'PAINEL PRINCIPAL'!A1"/><Relationship Id="rId7" Type="http://schemas.openxmlformats.org/officeDocument/2006/relationships/hyperlink" Target="#Dados!A1"/><Relationship Id="rId2" Type="http://schemas.openxmlformats.org/officeDocument/2006/relationships/image" Target="../media/image3.jpeg"/><Relationship Id="rId1" Type="http://schemas.openxmlformats.org/officeDocument/2006/relationships/chart" Target="../charts/chart1.xml"/><Relationship Id="rId6" Type="http://schemas.openxmlformats.org/officeDocument/2006/relationships/hyperlink" Target="#GR&#193;FICOS!A1"/><Relationship Id="rId5" Type="http://schemas.openxmlformats.org/officeDocument/2006/relationships/hyperlink" Target="#'Contas a Pagar'!A1"/><Relationship Id="rId4" Type="http://schemas.openxmlformats.org/officeDocument/2006/relationships/hyperlink" Target="#'Contas a Receber'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https://support.office.com/pt-br/article/PGTO-Fun%C3%A7%C3%A3o-PGTO-0214da64-9a63-4996-bc20-214433fa644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447676</xdr:colOff>
      <xdr:row>4</xdr:row>
      <xdr:rowOff>129733</xdr:rowOff>
    </xdr:from>
    <xdr:to>
      <xdr:col>10</xdr:col>
      <xdr:colOff>47626</xdr:colOff>
      <xdr:row>9</xdr:row>
      <xdr:rowOff>163286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1BD3D1F3-381B-450F-88C0-202BBA7F73FD}"/>
            </a:ext>
          </a:extLst>
        </xdr:cNvPr>
        <xdr:cNvGrpSpPr/>
      </xdr:nvGrpSpPr>
      <xdr:grpSpPr>
        <a:xfrm>
          <a:off x="4093153" y="753188"/>
          <a:ext cx="2630632" cy="942757"/>
          <a:chOff x="7315201" y="2996758"/>
          <a:chExt cx="2647950" cy="938428"/>
        </a:xfrm>
      </xdr:grpSpPr>
      <xdr:pic>
        <xdr:nvPicPr>
          <xdr:cNvPr id="10" name="Imagem 30">
            <a:extLst>
              <a:ext uri="{FF2B5EF4-FFF2-40B4-BE49-F238E27FC236}">
                <a16:creationId xmlns:a16="http://schemas.microsoft.com/office/drawing/2014/main" id="{6A52F755-F2B1-40CE-B4F0-7391C693EB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15201" y="2996758"/>
            <a:ext cx="2647950" cy="9384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$P$5">
        <xdr:nvSpPr>
          <xdr:cNvPr id="11" name="CaixaDeTexto 10">
            <a:extLst>
              <a:ext uri="{FF2B5EF4-FFF2-40B4-BE49-F238E27FC236}">
                <a16:creationId xmlns:a16="http://schemas.microsoft.com/office/drawing/2014/main" id="{78355718-9D43-44CC-B692-3D175C5286C4}"/>
              </a:ext>
            </a:extLst>
          </xdr:cNvPr>
          <xdr:cNvSpPr txBox="1"/>
        </xdr:nvSpPr>
        <xdr:spPr bwMode="auto">
          <a:xfrm>
            <a:off x="8130984" y="3329449"/>
            <a:ext cx="1083252" cy="4525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1064031-5B90-455F-9A28-199437DA654A}" type="TxLink">
              <a:rPr lang="en-US" sz="1200" b="1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R$ 6.147</a:t>
            </a:fld>
            <a:endParaRPr lang="pt-BR" sz="2800" b="1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2FD8090E-F001-4D20-BF1C-CAA38434E0E4}"/>
              </a:ext>
            </a:extLst>
          </xdr:cNvPr>
          <xdr:cNvSpPr txBox="1"/>
        </xdr:nvSpPr>
        <xdr:spPr bwMode="auto">
          <a:xfrm>
            <a:off x="7977188" y="3155387"/>
            <a:ext cx="1410903" cy="2297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 i="0" u="none" strike="noStrike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Total</a:t>
            </a:r>
            <a:r>
              <a:rPr lang="en-US" sz="1000" b="1" i="0" u="none" strike="noStrike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 A Pagar</a:t>
            </a:r>
            <a:endParaRPr lang="en-US" sz="10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</xdr:col>
      <xdr:colOff>114301</xdr:colOff>
      <xdr:row>4</xdr:row>
      <xdr:rowOff>139258</xdr:rowOff>
    </xdr:from>
    <xdr:to>
      <xdr:col>6</xdr:col>
      <xdr:colOff>323851</xdr:colOff>
      <xdr:row>9</xdr:row>
      <xdr:rowOff>172811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4A754C95-354C-42F1-B861-55FDE8E8A71F}"/>
            </a:ext>
          </a:extLst>
        </xdr:cNvPr>
        <xdr:cNvGrpSpPr/>
      </xdr:nvGrpSpPr>
      <xdr:grpSpPr>
        <a:xfrm>
          <a:off x="1941369" y="762713"/>
          <a:ext cx="2634096" cy="942757"/>
          <a:chOff x="7315201" y="2996758"/>
          <a:chExt cx="2647950" cy="938428"/>
        </a:xfrm>
      </xdr:grpSpPr>
      <xdr:pic>
        <xdr:nvPicPr>
          <xdr:cNvPr id="14" name="Imagem 30">
            <a:extLst>
              <a:ext uri="{FF2B5EF4-FFF2-40B4-BE49-F238E27FC236}">
                <a16:creationId xmlns:a16="http://schemas.microsoft.com/office/drawing/2014/main" id="{F4545223-1463-4BA3-9A86-8CDE83D2935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15201" y="2996758"/>
            <a:ext cx="2647950" cy="9384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$P$4">
        <xdr:nvSpPr>
          <xdr:cNvPr id="15" name="CaixaDeTexto 14">
            <a:extLst>
              <a:ext uri="{FF2B5EF4-FFF2-40B4-BE49-F238E27FC236}">
                <a16:creationId xmlns:a16="http://schemas.microsoft.com/office/drawing/2014/main" id="{9E0F05D7-550B-4CD0-A667-C55306BA9885}"/>
              </a:ext>
            </a:extLst>
          </xdr:cNvPr>
          <xdr:cNvSpPr txBox="1"/>
        </xdr:nvSpPr>
        <xdr:spPr bwMode="auto">
          <a:xfrm>
            <a:off x="8130984" y="3329449"/>
            <a:ext cx="1083252" cy="4525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65BF98F-80CB-49CC-96E8-17AB01B0DD62}" type="TxLink">
              <a:rPr lang="en-US" sz="1100" b="1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R$ 23.750</a:t>
            </a:fld>
            <a:endParaRPr lang="pt-BR" sz="2400" b="1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16" name="CaixaDeTexto 15">
            <a:extLst>
              <a:ext uri="{FF2B5EF4-FFF2-40B4-BE49-F238E27FC236}">
                <a16:creationId xmlns:a16="http://schemas.microsoft.com/office/drawing/2014/main" id="{8F2ED660-09F5-4C91-B150-86329E872B3A}"/>
              </a:ext>
            </a:extLst>
          </xdr:cNvPr>
          <xdr:cNvSpPr txBox="1"/>
        </xdr:nvSpPr>
        <xdr:spPr bwMode="auto">
          <a:xfrm>
            <a:off x="7977188" y="3155387"/>
            <a:ext cx="1410903" cy="2297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 i="0" u="none" strike="noStrike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Total</a:t>
            </a:r>
            <a:r>
              <a:rPr lang="en-US" sz="1000" b="1" i="0" u="none" strike="noStrike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 Pago</a:t>
            </a:r>
            <a:endParaRPr lang="en-US" sz="10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9</xdr:col>
      <xdr:colOff>323851</xdr:colOff>
      <xdr:row>5</xdr:row>
      <xdr:rowOff>5908</xdr:rowOff>
    </xdr:from>
    <xdr:to>
      <xdr:col>13</xdr:col>
      <xdr:colOff>533401</xdr:colOff>
      <xdr:row>10</xdr:row>
      <xdr:rowOff>39461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E00E9016-DFF9-4F51-ACE6-8792936FA84F}"/>
            </a:ext>
          </a:extLst>
        </xdr:cNvPr>
        <xdr:cNvGrpSpPr/>
      </xdr:nvGrpSpPr>
      <xdr:grpSpPr>
        <a:xfrm>
          <a:off x="6393874" y="811203"/>
          <a:ext cx="2634095" cy="942758"/>
          <a:chOff x="7315201" y="2996758"/>
          <a:chExt cx="2647950" cy="938428"/>
        </a:xfrm>
      </xdr:grpSpPr>
      <xdr:pic>
        <xdr:nvPicPr>
          <xdr:cNvPr id="18" name="Imagem 30">
            <a:extLst>
              <a:ext uri="{FF2B5EF4-FFF2-40B4-BE49-F238E27FC236}">
                <a16:creationId xmlns:a16="http://schemas.microsoft.com/office/drawing/2014/main" id="{990C339C-934A-4409-A5A9-7C37C598DB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15201" y="2996758"/>
            <a:ext cx="2647950" cy="9384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$P$8">
        <xdr:nvSpPr>
          <xdr:cNvPr id="19" name="CaixaDeTexto 18">
            <a:extLst>
              <a:ext uri="{FF2B5EF4-FFF2-40B4-BE49-F238E27FC236}">
                <a16:creationId xmlns:a16="http://schemas.microsoft.com/office/drawing/2014/main" id="{BB43E6DF-0540-4D6A-8585-3EF6A651BBAC}"/>
              </a:ext>
            </a:extLst>
          </xdr:cNvPr>
          <xdr:cNvSpPr txBox="1"/>
        </xdr:nvSpPr>
        <xdr:spPr bwMode="auto">
          <a:xfrm>
            <a:off x="8130984" y="3329449"/>
            <a:ext cx="1083252" cy="4525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5659910A-5AD2-4C86-A749-E0721860D436}" type="TxLink">
              <a:rPr lang="en-US" sz="1400" b="1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36</a:t>
            </a:fld>
            <a:endParaRPr lang="pt-BR" sz="4800" b="1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B2FC4CFC-48CE-4C90-BC69-292266FD686C}"/>
              </a:ext>
            </a:extLst>
          </xdr:cNvPr>
          <xdr:cNvSpPr txBox="1"/>
        </xdr:nvSpPr>
        <xdr:spPr bwMode="auto">
          <a:xfrm>
            <a:off x="7900988" y="3028950"/>
            <a:ext cx="1614487" cy="476250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 i="0" u="none" strike="noStrike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Qtd Carros</a:t>
            </a:r>
            <a:endParaRPr lang="en-US" sz="1000" b="1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endParaRPr>
          </a:p>
          <a:p>
            <a:pPr algn="ctr"/>
            <a:r>
              <a:rPr lang="en-US" sz="1000" b="1" i="0" u="none" strike="noStrike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Vendidos</a:t>
            </a:r>
            <a:endParaRPr lang="en-US" sz="10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5</xdr:col>
      <xdr:colOff>533401</xdr:colOff>
      <xdr:row>12</xdr:row>
      <xdr:rowOff>110683</xdr:rowOff>
    </xdr:from>
    <xdr:to>
      <xdr:col>10</xdr:col>
      <xdr:colOff>133351</xdr:colOff>
      <xdr:row>17</xdr:row>
      <xdr:rowOff>144236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D691D764-3E66-4921-8F01-C98303958339}"/>
            </a:ext>
          </a:extLst>
        </xdr:cNvPr>
        <xdr:cNvGrpSpPr/>
      </xdr:nvGrpSpPr>
      <xdr:grpSpPr>
        <a:xfrm>
          <a:off x="4178878" y="2188865"/>
          <a:ext cx="2630632" cy="942757"/>
          <a:chOff x="7315201" y="2996758"/>
          <a:chExt cx="2647950" cy="938428"/>
        </a:xfrm>
      </xdr:grpSpPr>
      <xdr:pic>
        <xdr:nvPicPr>
          <xdr:cNvPr id="22" name="Imagem 30">
            <a:extLst>
              <a:ext uri="{FF2B5EF4-FFF2-40B4-BE49-F238E27FC236}">
                <a16:creationId xmlns:a16="http://schemas.microsoft.com/office/drawing/2014/main" id="{DB451A03-2869-4EA5-B184-5506C047F2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15201" y="2996758"/>
            <a:ext cx="2647950" cy="9384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$P$7">
        <xdr:nvSpPr>
          <xdr:cNvPr id="23" name="CaixaDeTexto 22">
            <a:extLst>
              <a:ext uri="{FF2B5EF4-FFF2-40B4-BE49-F238E27FC236}">
                <a16:creationId xmlns:a16="http://schemas.microsoft.com/office/drawing/2014/main" id="{9B5DB975-C441-4FA8-9A5D-AF03F1799474}"/>
              </a:ext>
            </a:extLst>
          </xdr:cNvPr>
          <xdr:cNvSpPr txBox="1"/>
        </xdr:nvSpPr>
        <xdr:spPr bwMode="auto">
          <a:xfrm>
            <a:off x="8130984" y="3329449"/>
            <a:ext cx="1083252" cy="4525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7C121E1B-80D2-4A81-9A94-0D2E057CB8B1}" type="TxLink">
              <a:rPr lang="en-US" sz="1200" b="1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R$ 120</a:t>
            </a:fld>
            <a:endParaRPr lang="pt-BR" sz="4400" b="1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24" name="CaixaDeTexto 23">
            <a:extLst>
              <a:ext uri="{FF2B5EF4-FFF2-40B4-BE49-F238E27FC236}">
                <a16:creationId xmlns:a16="http://schemas.microsoft.com/office/drawing/2014/main" id="{13C5EA09-B184-4556-A167-32CC8467502B}"/>
              </a:ext>
            </a:extLst>
          </xdr:cNvPr>
          <xdr:cNvSpPr txBox="1"/>
        </xdr:nvSpPr>
        <xdr:spPr bwMode="auto">
          <a:xfrm>
            <a:off x="7977188" y="3155387"/>
            <a:ext cx="1410903" cy="2297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 i="0" u="none" strike="noStrike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Total</a:t>
            </a:r>
            <a:r>
              <a:rPr lang="en-US" sz="1000" b="1" i="0" u="none" strike="noStrike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 A Receber</a:t>
            </a:r>
            <a:endParaRPr lang="en-US" sz="10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</xdr:col>
      <xdr:colOff>142876</xdr:colOff>
      <xdr:row>12</xdr:row>
      <xdr:rowOff>101158</xdr:rowOff>
    </xdr:from>
    <xdr:to>
      <xdr:col>6</xdr:col>
      <xdr:colOff>352426</xdr:colOff>
      <xdr:row>17</xdr:row>
      <xdr:rowOff>134711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193BC12F-EA31-48A2-9408-A8BADAF5D956}"/>
            </a:ext>
          </a:extLst>
        </xdr:cNvPr>
        <xdr:cNvGrpSpPr/>
      </xdr:nvGrpSpPr>
      <xdr:grpSpPr>
        <a:xfrm>
          <a:off x="1969944" y="2179340"/>
          <a:ext cx="2634096" cy="942757"/>
          <a:chOff x="7315201" y="2996758"/>
          <a:chExt cx="2647950" cy="938428"/>
        </a:xfrm>
      </xdr:grpSpPr>
      <xdr:pic>
        <xdr:nvPicPr>
          <xdr:cNvPr id="26" name="Imagem 30">
            <a:extLst>
              <a:ext uri="{FF2B5EF4-FFF2-40B4-BE49-F238E27FC236}">
                <a16:creationId xmlns:a16="http://schemas.microsoft.com/office/drawing/2014/main" id="{DC34753E-B72A-4946-A687-764F570FCE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15201" y="2996758"/>
            <a:ext cx="2647950" cy="9384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$P$6">
        <xdr:nvSpPr>
          <xdr:cNvPr id="27" name="CaixaDeTexto 26">
            <a:extLst>
              <a:ext uri="{FF2B5EF4-FFF2-40B4-BE49-F238E27FC236}">
                <a16:creationId xmlns:a16="http://schemas.microsoft.com/office/drawing/2014/main" id="{6CE50327-6606-4DC5-96E3-4C2774E69A30}"/>
              </a:ext>
            </a:extLst>
          </xdr:cNvPr>
          <xdr:cNvSpPr txBox="1"/>
        </xdr:nvSpPr>
        <xdr:spPr bwMode="auto">
          <a:xfrm>
            <a:off x="8130984" y="3329449"/>
            <a:ext cx="1083252" cy="4525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AA635EC-0505-4555-8358-D661190B431C}" type="TxLink">
              <a:rPr lang="en-US" sz="1200" b="1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R$ 1.160</a:t>
            </a:fld>
            <a:endParaRPr lang="pt-BR" sz="4800" b="1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28" name="CaixaDeTexto 27">
            <a:extLst>
              <a:ext uri="{FF2B5EF4-FFF2-40B4-BE49-F238E27FC236}">
                <a16:creationId xmlns:a16="http://schemas.microsoft.com/office/drawing/2014/main" id="{569E7C1E-E69A-418F-9AD7-6D485A3F8DD8}"/>
              </a:ext>
            </a:extLst>
          </xdr:cNvPr>
          <xdr:cNvSpPr txBox="1"/>
        </xdr:nvSpPr>
        <xdr:spPr bwMode="auto">
          <a:xfrm>
            <a:off x="7977188" y="3155387"/>
            <a:ext cx="1410903" cy="2297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 i="0" u="none" strike="noStrike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Total</a:t>
            </a:r>
            <a:r>
              <a:rPr lang="en-US" sz="1000" b="1" i="0" u="none" strike="noStrike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 Recebido</a:t>
            </a:r>
            <a:endParaRPr lang="en-US" sz="10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9</xdr:col>
      <xdr:colOff>314326</xdr:colOff>
      <xdr:row>12</xdr:row>
      <xdr:rowOff>110683</xdr:rowOff>
    </xdr:from>
    <xdr:to>
      <xdr:col>13</xdr:col>
      <xdr:colOff>523876</xdr:colOff>
      <xdr:row>17</xdr:row>
      <xdr:rowOff>144236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AFF191E0-5146-4A51-99DF-FA512566C987}"/>
            </a:ext>
          </a:extLst>
        </xdr:cNvPr>
        <xdr:cNvGrpSpPr/>
      </xdr:nvGrpSpPr>
      <xdr:grpSpPr>
        <a:xfrm>
          <a:off x="6384349" y="2188865"/>
          <a:ext cx="2634095" cy="942757"/>
          <a:chOff x="7315201" y="2996758"/>
          <a:chExt cx="2647950" cy="938428"/>
        </a:xfrm>
      </xdr:grpSpPr>
      <xdr:pic>
        <xdr:nvPicPr>
          <xdr:cNvPr id="30" name="Imagem 30">
            <a:extLst>
              <a:ext uri="{FF2B5EF4-FFF2-40B4-BE49-F238E27FC236}">
                <a16:creationId xmlns:a16="http://schemas.microsoft.com/office/drawing/2014/main" id="{70B214EA-4305-497B-8DF0-255E48B232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15201" y="2996758"/>
            <a:ext cx="2647950" cy="9384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$P$9">
        <xdr:nvSpPr>
          <xdr:cNvPr id="31" name="CaixaDeTexto 30">
            <a:extLst>
              <a:ext uri="{FF2B5EF4-FFF2-40B4-BE49-F238E27FC236}">
                <a16:creationId xmlns:a16="http://schemas.microsoft.com/office/drawing/2014/main" id="{4E134070-7A06-41AD-A32E-D9960FD8F06B}"/>
              </a:ext>
            </a:extLst>
          </xdr:cNvPr>
          <xdr:cNvSpPr txBox="1"/>
        </xdr:nvSpPr>
        <xdr:spPr bwMode="auto">
          <a:xfrm>
            <a:off x="8130984" y="3329449"/>
            <a:ext cx="1083252" cy="4525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99E65528-2289-41E9-8124-C3F8649AE411}" type="TxLink">
              <a:rPr lang="en-US" sz="1100" b="1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-R$ 22.590</a:t>
            </a:fld>
            <a:endParaRPr lang="pt-BR" sz="2400" b="1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674C915F-99F2-4C58-9ABD-335C2EDB3F61}"/>
              </a:ext>
            </a:extLst>
          </xdr:cNvPr>
          <xdr:cNvSpPr txBox="1"/>
        </xdr:nvSpPr>
        <xdr:spPr bwMode="auto">
          <a:xfrm>
            <a:off x="7977188" y="3155387"/>
            <a:ext cx="1410903" cy="2297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 i="0" u="none" strike="noStrike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Lucro Total</a:t>
            </a:r>
          </a:p>
        </xdr:txBody>
      </xdr:sp>
    </xdr:grpSp>
    <xdr:clientData/>
  </xdr:twoCellAnchor>
  <xdr:twoCellAnchor editAs="oneCell">
    <xdr:from>
      <xdr:col>5</xdr:col>
      <xdr:colOff>485774</xdr:colOff>
      <xdr:row>4</xdr:row>
      <xdr:rowOff>140940</xdr:rowOff>
    </xdr:from>
    <xdr:to>
      <xdr:col>7</xdr:col>
      <xdr:colOff>161925</xdr:colOff>
      <xdr:row>9</xdr:row>
      <xdr:rowOff>152400</xdr:rowOff>
    </xdr:to>
    <xdr:pic>
      <xdr:nvPicPr>
        <xdr:cNvPr id="33" name="Imagem 32" descr="https://thumbs.dreamstime.com/z/grupo-de-dinheiro-colorido-em-%C3%ADcones-das-m%C3%A3os-41198955.jpg">
          <a:extLst>
            <a:ext uri="{FF2B5EF4-FFF2-40B4-BE49-F238E27FC236}">
              <a16:creationId xmlns:a16="http://schemas.microsoft.com/office/drawing/2014/main" id="{91347979-6D30-484B-B25A-3386154C013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641" t="3011" r="34926" b="68817"/>
        <a:stretch/>
      </xdr:blipFill>
      <xdr:spPr bwMode="auto">
        <a:xfrm>
          <a:off x="4143374" y="769590"/>
          <a:ext cx="895351" cy="916335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552450</xdr:colOff>
      <xdr:row>12</xdr:row>
      <xdr:rowOff>134457</xdr:rowOff>
    </xdr:from>
    <xdr:to>
      <xdr:col>7</xdr:col>
      <xdr:colOff>239033</xdr:colOff>
      <xdr:row>17</xdr:row>
      <xdr:rowOff>114300</xdr:rowOff>
    </xdr:to>
    <xdr:pic>
      <xdr:nvPicPr>
        <xdr:cNvPr id="34" name="Imagem 33" descr="https://thumbs.dreamstime.com/z/grupo-de-dinheiro-colorido-em-%C3%ADcones-das-m%C3%A3os-41198955.jpg">
          <a:extLst>
            <a:ext uri="{FF2B5EF4-FFF2-40B4-BE49-F238E27FC236}">
              <a16:creationId xmlns:a16="http://schemas.microsoft.com/office/drawing/2014/main" id="{7C1DA4D4-BFD1-42ED-8212-110C9C0432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09" t="63011" r="66428" b="9893"/>
        <a:stretch/>
      </xdr:blipFill>
      <xdr:spPr bwMode="auto">
        <a:xfrm>
          <a:off x="4210050" y="2210907"/>
          <a:ext cx="905783" cy="884718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142875</xdr:colOff>
      <xdr:row>4</xdr:row>
      <xdr:rowOff>170497</xdr:rowOff>
    </xdr:from>
    <xdr:to>
      <xdr:col>3</xdr:col>
      <xdr:colOff>438150</xdr:colOff>
      <xdr:row>9</xdr:row>
      <xdr:rowOff>152400</xdr:rowOff>
    </xdr:to>
    <xdr:pic>
      <xdr:nvPicPr>
        <xdr:cNvPr id="35" name="Imagem 34" descr="https://thumbs.dreamstime.com/z/grupo-de-dinheiro-colorido-em-%C3%ADcones-das-m%C3%A3os-41198955.jpg">
          <a:extLst>
            <a:ext uri="{FF2B5EF4-FFF2-40B4-BE49-F238E27FC236}">
              <a16:creationId xmlns:a16="http://schemas.microsoft.com/office/drawing/2014/main" id="{A1106EBE-CDB9-4D33-A88A-3D485317D19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763" t="63531" r="4082" b="9747"/>
        <a:stretch/>
      </xdr:blipFill>
      <xdr:spPr bwMode="auto">
        <a:xfrm>
          <a:off x="1971675" y="799147"/>
          <a:ext cx="904875" cy="886778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323851</xdr:colOff>
      <xdr:row>12</xdr:row>
      <xdr:rowOff>104775</xdr:rowOff>
    </xdr:from>
    <xdr:to>
      <xdr:col>11</xdr:col>
      <xdr:colOff>47625</xdr:colOff>
      <xdr:row>17</xdr:row>
      <xdr:rowOff>142875</xdr:rowOff>
    </xdr:to>
    <xdr:pic>
      <xdr:nvPicPr>
        <xdr:cNvPr id="36" name="Imagem 35" descr="https://thumbs.dreamstime.com/z/grupo-de-dinheiro-colorido-em-%C3%ADcones-das-m%C3%A3os-41198955.jpg">
          <a:extLst>
            <a:ext uri="{FF2B5EF4-FFF2-40B4-BE49-F238E27FC236}">
              <a16:creationId xmlns:a16="http://schemas.microsoft.com/office/drawing/2014/main" id="{8F3AFAD8-5B28-44FC-BAD7-34061ABDE3A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568" t="62986" r="34986" b="9474"/>
        <a:stretch/>
      </xdr:blipFill>
      <xdr:spPr bwMode="auto">
        <a:xfrm>
          <a:off x="6419851" y="2181225"/>
          <a:ext cx="942974" cy="942975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152400</xdr:colOff>
      <xdr:row>12</xdr:row>
      <xdr:rowOff>131935</xdr:rowOff>
    </xdr:from>
    <xdr:to>
      <xdr:col>3</xdr:col>
      <xdr:colOff>457200</xdr:colOff>
      <xdr:row>17</xdr:row>
      <xdr:rowOff>114299</xdr:rowOff>
    </xdr:to>
    <xdr:pic>
      <xdr:nvPicPr>
        <xdr:cNvPr id="37" name="Imagem 36" descr="https://thumbs.dreamstime.com/z/grupo-de-dinheiro-colorido-em-%C3%ADcones-das-m%C3%A3os-41198955.jpg">
          <a:extLst>
            <a:ext uri="{FF2B5EF4-FFF2-40B4-BE49-F238E27FC236}">
              <a16:creationId xmlns:a16="http://schemas.microsoft.com/office/drawing/2014/main" id="{2711F68F-12ED-417B-8EA5-1536E904A2A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73" t="62986" r="66181" b="10292"/>
        <a:stretch/>
      </xdr:blipFill>
      <xdr:spPr bwMode="auto">
        <a:xfrm>
          <a:off x="1981200" y="2208385"/>
          <a:ext cx="914400" cy="887239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333375</xdr:colOff>
      <xdr:row>5</xdr:row>
      <xdr:rowOff>27466</xdr:rowOff>
    </xdr:from>
    <xdr:to>
      <xdr:col>11</xdr:col>
      <xdr:colOff>38100</xdr:colOff>
      <xdr:row>10</xdr:row>
      <xdr:rowOff>28575</xdr:rowOff>
    </xdr:to>
    <xdr:pic>
      <xdr:nvPicPr>
        <xdr:cNvPr id="38" name="Imagem 37" descr="https://thumbs.dreamstime.com/z/grupo-de-dinheiro-colorido-em-%C3%ADcones-das-m%C3%A3os-41198955.jpg">
          <a:extLst>
            <a:ext uri="{FF2B5EF4-FFF2-40B4-BE49-F238E27FC236}">
              <a16:creationId xmlns:a16="http://schemas.microsoft.com/office/drawing/2014/main" id="{60555826-8189-41CC-AE60-05F2D981A98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180" t="32721" r="3790" b="39740"/>
        <a:stretch/>
      </xdr:blipFill>
      <xdr:spPr bwMode="auto">
        <a:xfrm>
          <a:off x="6429375" y="837091"/>
          <a:ext cx="923925" cy="905984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</xdr:colOff>
      <xdr:row>0</xdr:row>
      <xdr:rowOff>0</xdr:rowOff>
    </xdr:from>
    <xdr:to>
      <xdr:col>0</xdr:col>
      <xdr:colOff>390525</xdr:colOff>
      <xdr:row>4</xdr:row>
      <xdr:rowOff>3632</xdr:rowOff>
    </xdr:to>
    <xdr:pic>
      <xdr:nvPicPr>
        <xdr:cNvPr id="39" name="Imagem 38" descr="Resultado de imagem para logo barbearia">
          <a:extLst>
            <a:ext uri="{FF2B5EF4-FFF2-40B4-BE49-F238E27FC236}">
              <a16:creationId xmlns:a16="http://schemas.microsoft.com/office/drawing/2014/main" id="{0C246800-A81F-4362-8595-A2F0BC21B9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534" t="6578" r="23466" b="9649"/>
        <a:stretch/>
      </xdr:blipFill>
      <xdr:spPr bwMode="auto">
        <a:xfrm>
          <a:off x="9525" y="0"/>
          <a:ext cx="381000" cy="632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399721</xdr:colOff>
      <xdr:row>0</xdr:row>
      <xdr:rowOff>2673</xdr:rowOff>
    </xdr:from>
    <xdr:ext cx="1281954" cy="682238"/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id="{DE202445-0167-496A-9EF7-5EBA5D6D06FF}"/>
            </a:ext>
          </a:extLst>
        </xdr:cNvPr>
        <xdr:cNvSpPr/>
      </xdr:nvSpPr>
      <xdr:spPr>
        <a:xfrm>
          <a:off x="399721" y="2673"/>
          <a:ext cx="1281954" cy="68223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pt-BR" sz="2000" b="1" cap="none" spc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solidFill>
                <a:srgbClr val="966C46"/>
              </a:solid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451</a:t>
          </a:r>
          <a:endParaRPr lang="pt-BR" sz="2000" b="1" cap="none" spc="0" baseline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solidFill>
              <a:srgbClr val="966C46"/>
            </a:solid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pt-BR" sz="2000" b="1" cap="none" spc="0" baseline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solidFill>
                <a:srgbClr val="966C46"/>
              </a:solid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BARBER</a:t>
          </a:r>
          <a:endParaRPr lang="pt-BR" sz="2000" b="1" cap="none" spc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solidFill>
              <a:srgbClr val="966C46"/>
            </a:solid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>
    <xdr:from>
      <xdr:col>0</xdr:col>
      <xdr:colOff>0</xdr:colOff>
      <xdr:row>4</xdr:row>
      <xdr:rowOff>3464</xdr:rowOff>
    </xdr:from>
    <xdr:to>
      <xdr:col>0</xdr:col>
      <xdr:colOff>1704974</xdr:colOff>
      <xdr:row>7</xdr:row>
      <xdr:rowOff>49357</xdr:rowOff>
    </xdr:to>
    <xdr:sp macro="" textlink="">
      <xdr:nvSpPr>
        <xdr:cNvPr id="41" name="Retângulo 4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BDD9C37-1A43-4A23-954F-D4BDE8C9073B}"/>
            </a:ext>
          </a:extLst>
        </xdr:cNvPr>
        <xdr:cNvSpPr/>
      </xdr:nvSpPr>
      <xdr:spPr>
        <a:xfrm>
          <a:off x="0" y="632114"/>
          <a:ext cx="1704974" cy="588818"/>
        </a:xfrm>
        <a:prstGeom prst="rect">
          <a:avLst/>
        </a:prstGeom>
        <a:solidFill>
          <a:srgbClr val="C8A88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1</a:t>
          </a:r>
          <a:r>
            <a:rPr lang="pt-BR" sz="1400" baseline="0">
              <a:latin typeface="Arial" panose="020B0604020202020204" pitchFamily="34" charset="0"/>
              <a:cs typeface="Arial" panose="020B0604020202020204" pitchFamily="34" charset="0"/>
            </a:rPr>
            <a:t> - Painel Principal</a:t>
          </a:r>
          <a:endParaRPr lang="pt-BR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7</xdr:row>
      <xdr:rowOff>67541</xdr:rowOff>
    </xdr:from>
    <xdr:to>
      <xdr:col>0</xdr:col>
      <xdr:colOff>1704974</xdr:colOff>
      <xdr:row>10</xdr:row>
      <xdr:rowOff>112568</xdr:rowOff>
    </xdr:to>
    <xdr:sp macro="" textlink="">
      <xdr:nvSpPr>
        <xdr:cNvPr id="42" name="Retângulo 4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22CCE9D-D2DB-4C6C-8314-85CA1DA6592D}"/>
            </a:ext>
          </a:extLst>
        </xdr:cNvPr>
        <xdr:cNvSpPr/>
      </xdr:nvSpPr>
      <xdr:spPr>
        <a:xfrm>
          <a:off x="0" y="1239116"/>
          <a:ext cx="1704974" cy="587952"/>
        </a:xfrm>
        <a:prstGeom prst="rect">
          <a:avLst/>
        </a:prstGeom>
        <a:solidFill>
          <a:srgbClr val="966C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2 - Conta</a:t>
          </a:r>
          <a:r>
            <a:rPr lang="pt-BR" sz="1400" baseline="0">
              <a:latin typeface="Arial" panose="020B0604020202020204" pitchFamily="34" charset="0"/>
              <a:cs typeface="Arial" panose="020B0604020202020204" pitchFamily="34" charset="0"/>
            </a:rPr>
            <a:t>s a Rec</a:t>
          </a:r>
          <a:endParaRPr lang="pt-BR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10</xdr:row>
      <xdr:rowOff>141143</xdr:rowOff>
    </xdr:from>
    <xdr:to>
      <xdr:col>0</xdr:col>
      <xdr:colOff>1704974</xdr:colOff>
      <xdr:row>14</xdr:row>
      <xdr:rowOff>5195</xdr:rowOff>
    </xdr:to>
    <xdr:sp macro="" textlink="">
      <xdr:nvSpPr>
        <xdr:cNvPr id="43" name="Retângulo 4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502DF5D-B01B-4FB0-8F7F-4A66CF2A5425}"/>
            </a:ext>
          </a:extLst>
        </xdr:cNvPr>
        <xdr:cNvSpPr/>
      </xdr:nvSpPr>
      <xdr:spPr>
        <a:xfrm>
          <a:off x="0" y="1855643"/>
          <a:ext cx="1704974" cy="587952"/>
        </a:xfrm>
        <a:prstGeom prst="rect">
          <a:avLst/>
        </a:prstGeom>
        <a:solidFill>
          <a:srgbClr val="966C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3 - Contas</a:t>
          </a:r>
          <a:r>
            <a:rPr lang="pt-BR" sz="1400" baseline="0">
              <a:latin typeface="Arial" panose="020B0604020202020204" pitchFamily="34" charset="0"/>
              <a:cs typeface="Arial" panose="020B0604020202020204" pitchFamily="34" charset="0"/>
            </a:rPr>
            <a:t> a Pag</a:t>
          </a:r>
          <a:endParaRPr lang="pt-BR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14</xdr:row>
      <xdr:rowOff>24245</xdr:rowOff>
    </xdr:from>
    <xdr:to>
      <xdr:col>0</xdr:col>
      <xdr:colOff>1704974</xdr:colOff>
      <xdr:row>17</xdr:row>
      <xdr:rowOff>69273</xdr:rowOff>
    </xdr:to>
    <xdr:sp macro="" textlink="">
      <xdr:nvSpPr>
        <xdr:cNvPr id="44" name="Retângulo 4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45A402A-D14F-486B-A59C-6315F6FBCDD4}"/>
            </a:ext>
          </a:extLst>
        </xdr:cNvPr>
        <xdr:cNvSpPr/>
      </xdr:nvSpPr>
      <xdr:spPr>
        <a:xfrm>
          <a:off x="0" y="2462645"/>
          <a:ext cx="1704974" cy="587953"/>
        </a:xfrm>
        <a:prstGeom prst="rect">
          <a:avLst/>
        </a:prstGeom>
        <a:solidFill>
          <a:srgbClr val="966C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4 - Gráficos</a:t>
          </a:r>
        </a:p>
      </xdr:txBody>
    </xdr:sp>
    <xdr:clientData/>
  </xdr:twoCellAnchor>
  <xdr:twoCellAnchor>
    <xdr:from>
      <xdr:col>0</xdr:col>
      <xdr:colOff>0</xdr:colOff>
      <xdr:row>17</xdr:row>
      <xdr:rowOff>88323</xdr:rowOff>
    </xdr:from>
    <xdr:to>
      <xdr:col>0</xdr:col>
      <xdr:colOff>1704974</xdr:colOff>
      <xdr:row>20</xdr:row>
      <xdr:rowOff>133350</xdr:rowOff>
    </xdr:to>
    <xdr:sp macro="" textlink="">
      <xdr:nvSpPr>
        <xdr:cNvPr id="45" name="Retângulo 4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500B1B2-957B-4DBF-82C8-4CF61F8F93E7}"/>
            </a:ext>
          </a:extLst>
        </xdr:cNvPr>
        <xdr:cNvSpPr/>
      </xdr:nvSpPr>
      <xdr:spPr>
        <a:xfrm>
          <a:off x="0" y="3069648"/>
          <a:ext cx="1704974" cy="587952"/>
        </a:xfrm>
        <a:prstGeom prst="rect">
          <a:avLst/>
        </a:prstGeom>
        <a:solidFill>
          <a:srgbClr val="966C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5 - Dados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0</xdr:col>
      <xdr:colOff>390525</xdr:colOff>
      <xdr:row>4</xdr:row>
      <xdr:rowOff>3632</xdr:rowOff>
    </xdr:to>
    <xdr:pic>
      <xdr:nvPicPr>
        <xdr:cNvPr id="4" name="Imagem 3" descr="Resultado de imagem para logo barbearia">
          <a:extLst>
            <a:ext uri="{FF2B5EF4-FFF2-40B4-BE49-F238E27FC236}">
              <a16:creationId xmlns:a16="http://schemas.microsoft.com/office/drawing/2014/main" id="{9436CF4A-6AD9-4D78-884E-2C304FA7408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534" t="6578" r="23466" b="9649"/>
        <a:stretch/>
      </xdr:blipFill>
      <xdr:spPr bwMode="auto">
        <a:xfrm>
          <a:off x="9525" y="0"/>
          <a:ext cx="381000" cy="632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399721</xdr:colOff>
      <xdr:row>0</xdr:row>
      <xdr:rowOff>2673</xdr:rowOff>
    </xdr:from>
    <xdr:ext cx="1281954" cy="682238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97FEA7EC-6EB2-400D-922A-91C364A1B5A2}"/>
            </a:ext>
          </a:extLst>
        </xdr:cNvPr>
        <xdr:cNvSpPr/>
      </xdr:nvSpPr>
      <xdr:spPr>
        <a:xfrm>
          <a:off x="399721" y="2673"/>
          <a:ext cx="1281954" cy="68223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pt-BR" sz="2000" b="1" cap="none" spc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solidFill>
                <a:srgbClr val="966C46"/>
              </a:solid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451</a:t>
          </a:r>
          <a:endParaRPr lang="pt-BR" sz="2000" b="1" cap="none" spc="0" baseline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solidFill>
              <a:srgbClr val="966C46"/>
            </a:solid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pt-BR" sz="2000" b="1" cap="none" spc="0" baseline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solidFill>
                <a:srgbClr val="966C46"/>
              </a:solid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BARBER</a:t>
          </a:r>
          <a:endParaRPr lang="pt-BR" sz="2000" b="1" cap="none" spc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solidFill>
              <a:srgbClr val="966C46"/>
            </a:solid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>
    <xdr:from>
      <xdr:col>0</xdr:col>
      <xdr:colOff>0</xdr:colOff>
      <xdr:row>4</xdr:row>
      <xdr:rowOff>3464</xdr:rowOff>
    </xdr:from>
    <xdr:to>
      <xdr:col>0</xdr:col>
      <xdr:colOff>1704974</xdr:colOff>
      <xdr:row>6</xdr:row>
      <xdr:rowOff>192232</xdr:rowOff>
    </xdr:to>
    <xdr:sp macro="" textlink="">
      <xdr:nvSpPr>
        <xdr:cNvPr id="6" name="Retângul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F0C4FA4-822A-4E33-9A55-3E5E968F44EB}"/>
            </a:ext>
          </a:extLst>
        </xdr:cNvPr>
        <xdr:cNvSpPr/>
      </xdr:nvSpPr>
      <xdr:spPr>
        <a:xfrm>
          <a:off x="0" y="632114"/>
          <a:ext cx="1704974" cy="588818"/>
        </a:xfrm>
        <a:prstGeom prst="rect">
          <a:avLst/>
        </a:prstGeom>
        <a:solidFill>
          <a:srgbClr val="966C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1</a:t>
          </a:r>
          <a:r>
            <a:rPr lang="pt-BR" sz="1400" baseline="0">
              <a:latin typeface="Arial" panose="020B0604020202020204" pitchFamily="34" charset="0"/>
              <a:cs typeface="Arial" panose="020B0604020202020204" pitchFamily="34" charset="0"/>
            </a:rPr>
            <a:t> - Painel Principal</a:t>
          </a:r>
          <a:endParaRPr lang="pt-BR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7</xdr:row>
      <xdr:rowOff>10391</xdr:rowOff>
    </xdr:from>
    <xdr:to>
      <xdr:col>0</xdr:col>
      <xdr:colOff>1704974</xdr:colOff>
      <xdr:row>9</xdr:row>
      <xdr:rowOff>198293</xdr:rowOff>
    </xdr:to>
    <xdr:sp macro="" textlink="">
      <xdr:nvSpPr>
        <xdr:cNvPr id="7" name="Retângulo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EB02CE5-3F8F-4DFC-9594-D71959286950}"/>
            </a:ext>
          </a:extLst>
        </xdr:cNvPr>
        <xdr:cNvSpPr/>
      </xdr:nvSpPr>
      <xdr:spPr>
        <a:xfrm>
          <a:off x="0" y="1239116"/>
          <a:ext cx="1704974" cy="587952"/>
        </a:xfrm>
        <a:prstGeom prst="rect">
          <a:avLst/>
        </a:prstGeom>
        <a:solidFill>
          <a:srgbClr val="966C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2 - Conta</a:t>
          </a:r>
          <a:r>
            <a:rPr lang="pt-BR" sz="1400" baseline="0">
              <a:latin typeface="Arial" panose="020B0604020202020204" pitchFamily="34" charset="0"/>
              <a:cs typeface="Arial" panose="020B0604020202020204" pitchFamily="34" charset="0"/>
            </a:rPr>
            <a:t>s a Rec</a:t>
          </a:r>
          <a:endParaRPr lang="pt-BR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10</xdr:row>
      <xdr:rowOff>26843</xdr:rowOff>
    </xdr:from>
    <xdr:to>
      <xdr:col>0</xdr:col>
      <xdr:colOff>1704974</xdr:colOff>
      <xdr:row>13</xdr:row>
      <xdr:rowOff>14720</xdr:rowOff>
    </xdr:to>
    <xdr:sp macro="" textlink="">
      <xdr:nvSpPr>
        <xdr:cNvPr id="8" name="Retângulo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0002488-640E-4117-99DF-DD21E6E2F29F}"/>
            </a:ext>
          </a:extLst>
        </xdr:cNvPr>
        <xdr:cNvSpPr/>
      </xdr:nvSpPr>
      <xdr:spPr>
        <a:xfrm>
          <a:off x="0" y="1855643"/>
          <a:ext cx="1704974" cy="587952"/>
        </a:xfrm>
        <a:prstGeom prst="rect">
          <a:avLst/>
        </a:prstGeom>
        <a:solidFill>
          <a:srgbClr val="966C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3 - Contas</a:t>
          </a:r>
          <a:r>
            <a:rPr lang="pt-BR" sz="1400" baseline="0">
              <a:latin typeface="Arial" panose="020B0604020202020204" pitchFamily="34" charset="0"/>
              <a:cs typeface="Arial" panose="020B0604020202020204" pitchFamily="34" charset="0"/>
            </a:rPr>
            <a:t> a Pag</a:t>
          </a:r>
          <a:endParaRPr lang="pt-BR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13</xdr:row>
      <xdr:rowOff>33770</xdr:rowOff>
    </xdr:from>
    <xdr:to>
      <xdr:col>0</xdr:col>
      <xdr:colOff>1704974</xdr:colOff>
      <xdr:row>16</xdr:row>
      <xdr:rowOff>21648</xdr:rowOff>
    </xdr:to>
    <xdr:sp macro="" textlink="">
      <xdr:nvSpPr>
        <xdr:cNvPr id="9" name="Retângulo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BB5C31D-4526-4498-BEC1-4001D6C59E43}"/>
            </a:ext>
          </a:extLst>
        </xdr:cNvPr>
        <xdr:cNvSpPr/>
      </xdr:nvSpPr>
      <xdr:spPr>
        <a:xfrm>
          <a:off x="0" y="2462645"/>
          <a:ext cx="1704974" cy="587953"/>
        </a:xfrm>
        <a:prstGeom prst="rect">
          <a:avLst/>
        </a:prstGeom>
        <a:solidFill>
          <a:srgbClr val="966C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4 - Gráficos</a:t>
          </a:r>
        </a:p>
      </xdr:txBody>
    </xdr:sp>
    <xdr:clientData/>
  </xdr:twoCellAnchor>
  <xdr:twoCellAnchor>
    <xdr:from>
      <xdr:col>0</xdr:col>
      <xdr:colOff>0</xdr:colOff>
      <xdr:row>16</xdr:row>
      <xdr:rowOff>40698</xdr:rowOff>
    </xdr:from>
    <xdr:to>
      <xdr:col>0</xdr:col>
      <xdr:colOff>1704974</xdr:colOff>
      <xdr:row>19</xdr:row>
      <xdr:rowOff>28575</xdr:rowOff>
    </xdr:to>
    <xdr:sp macro="" textlink="">
      <xdr:nvSpPr>
        <xdr:cNvPr id="10" name="Retângulo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B55390D-CFE9-4044-8CA7-8CDE188EED40}"/>
            </a:ext>
          </a:extLst>
        </xdr:cNvPr>
        <xdr:cNvSpPr/>
      </xdr:nvSpPr>
      <xdr:spPr>
        <a:xfrm>
          <a:off x="0" y="3069648"/>
          <a:ext cx="1704974" cy="587952"/>
        </a:xfrm>
        <a:prstGeom prst="rect">
          <a:avLst/>
        </a:prstGeom>
        <a:solidFill>
          <a:srgbClr val="C8A88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5 - Dados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0</xdr:col>
      <xdr:colOff>390525</xdr:colOff>
      <xdr:row>4</xdr:row>
      <xdr:rowOff>0</xdr:rowOff>
    </xdr:to>
    <xdr:pic>
      <xdr:nvPicPr>
        <xdr:cNvPr id="2" name="Imagem 1" descr="Resultado de imagem para logo barbearia">
          <a:extLst>
            <a:ext uri="{FF2B5EF4-FFF2-40B4-BE49-F238E27FC236}">
              <a16:creationId xmlns:a16="http://schemas.microsoft.com/office/drawing/2014/main" id="{55108A88-E22A-4634-BD8D-A305381713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534" t="6578" r="23466" b="9649"/>
        <a:stretch/>
      </xdr:blipFill>
      <xdr:spPr bwMode="auto">
        <a:xfrm>
          <a:off x="9525" y="0"/>
          <a:ext cx="381000" cy="6383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399721</xdr:colOff>
      <xdr:row>0</xdr:row>
      <xdr:rowOff>2673</xdr:rowOff>
    </xdr:from>
    <xdr:ext cx="1281954" cy="68223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59798DB-A01B-4702-B6A5-DDD902E4695F}"/>
            </a:ext>
          </a:extLst>
        </xdr:cNvPr>
        <xdr:cNvSpPr/>
      </xdr:nvSpPr>
      <xdr:spPr>
        <a:xfrm>
          <a:off x="399721" y="2673"/>
          <a:ext cx="1281954" cy="68223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pt-BR" sz="2000" b="1" cap="none" spc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solidFill>
                <a:srgbClr val="966C46"/>
              </a:solid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451</a:t>
          </a:r>
          <a:endParaRPr lang="pt-BR" sz="2000" b="1" cap="none" spc="0" baseline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solidFill>
              <a:srgbClr val="966C46"/>
            </a:solid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pt-BR" sz="2000" b="1" cap="none" spc="0" baseline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solidFill>
                <a:srgbClr val="966C46"/>
              </a:solid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BARBER</a:t>
          </a:r>
          <a:endParaRPr lang="pt-BR" sz="2000" b="1" cap="none" spc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solidFill>
              <a:srgbClr val="966C46"/>
            </a:solid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>
    <xdr:from>
      <xdr:col>0</xdr:col>
      <xdr:colOff>0</xdr:colOff>
      <xdr:row>4</xdr:row>
      <xdr:rowOff>0</xdr:rowOff>
    </xdr:from>
    <xdr:to>
      <xdr:col>0</xdr:col>
      <xdr:colOff>1704974</xdr:colOff>
      <xdr:row>6</xdr:row>
      <xdr:rowOff>190500</xdr:rowOff>
    </xdr:to>
    <xdr:sp macro="" textlink="">
      <xdr:nvSpPr>
        <xdr:cNvPr id="4" name="Retâ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47DB8B1-3681-4259-B7F0-B937463A9313}"/>
            </a:ext>
          </a:extLst>
        </xdr:cNvPr>
        <xdr:cNvSpPr/>
      </xdr:nvSpPr>
      <xdr:spPr>
        <a:xfrm>
          <a:off x="0" y="638175"/>
          <a:ext cx="1704974" cy="590550"/>
        </a:xfrm>
        <a:prstGeom prst="rect">
          <a:avLst/>
        </a:prstGeom>
        <a:solidFill>
          <a:srgbClr val="966C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1</a:t>
          </a:r>
          <a:r>
            <a:rPr lang="pt-BR" sz="1400" baseline="0">
              <a:latin typeface="Arial" panose="020B0604020202020204" pitchFamily="34" charset="0"/>
              <a:cs typeface="Arial" panose="020B0604020202020204" pitchFamily="34" charset="0"/>
            </a:rPr>
            <a:t> - Painel Principal</a:t>
          </a:r>
          <a:endParaRPr lang="pt-BR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7</xdr:row>
      <xdr:rowOff>9525</xdr:rowOff>
    </xdr:from>
    <xdr:to>
      <xdr:col>0</xdr:col>
      <xdr:colOff>1704974</xdr:colOff>
      <xdr:row>10</xdr:row>
      <xdr:rowOff>0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54310F-84F2-4114-A741-5F6A79EED66F}"/>
            </a:ext>
          </a:extLst>
        </xdr:cNvPr>
        <xdr:cNvSpPr/>
      </xdr:nvSpPr>
      <xdr:spPr>
        <a:xfrm>
          <a:off x="0" y="1247775"/>
          <a:ext cx="1704974" cy="590550"/>
        </a:xfrm>
        <a:prstGeom prst="rect">
          <a:avLst/>
        </a:prstGeom>
        <a:solidFill>
          <a:srgbClr val="C8A88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2 - Conta</a:t>
          </a:r>
          <a:r>
            <a:rPr lang="pt-BR" sz="1400" baseline="0">
              <a:latin typeface="Arial" panose="020B0604020202020204" pitchFamily="34" charset="0"/>
              <a:cs typeface="Arial" panose="020B0604020202020204" pitchFamily="34" charset="0"/>
            </a:rPr>
            <a:t>s a Rec</a:t>
          </a:r>
          <a:endParaRPr lang="pt-BR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10</xdr:row>
      <xdr:rowOff>28575</xdr:rowOff>
    </xdr:from>
    <xdr:to>
      <xdr:col>0</xdr:col>
      <xdr:colOff>1704974</xdr:colOff>
      <xdr:row>13</xdr:row>
      <xdr:rowOff>19050</xdr:rowOff>
    </xdr:to>
    <xdr:sp macro="" textlink="">
      <xdr:nvSpPr>
        <xdr:cNvPr id="6" name="Retângul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6254FF3-790A-45FD-B283-385301953590}"/>
            </a:ext>
          </a:extLst>
        </xdr:cNvPr>
        <xdr:cNvSpPr/>
      </xdr:nvSpPr>
      <xdr:spPr>
        <a:xfrm>
          <a:off x="0" y="1866900"/>
          <a:ext cx="1704974" cy="590550"/>
        </a:xfrm>
        <a:prstGeom prst="rect">
          <a:avLst/>
        </a:prstGeom>
        <a:solidFill>
          <a:srgbClr val="966C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3 - Contas</a:t>
          </a:r>
          <a:r>
            <a:rPr lang="pt-BR" sz="1400" baseline="0">
              <a:latin typeface="Arial" panose="020B0604020202020204" pitchFamily="34" charset="0"/>
              <a:cs typeface="Arial" panose="020B0604020202020204" pitchFamily="34" charset="0"/>
            </a:rPr>
            <a:t> a Pag</a:t>
          </a:r>
          <a:endParaRPr lang="pt-BR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13</xdr:row>
      <xdr:rowOff>38100</xdr:rowOff>
    </xdr:from>
    <xdr:to>
      <xdr:col>0</xdr:col>
      <xdr:colOff>1704974</xdr:colOff>
      <xdr:row>16</xdr:row>
      <xdr:rowOff>28575</xdr:rowOff>
    </xdr:to>
    <xdr:sp macro="" textlink="">
      <xdr:nvSpPr>
        <xdr:cNvPr id="7" name="Retângulo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6107D88-0C38-4D26-96AC-5733094F7E2E}"/>
            </a:ext>
          </a:extLst>
        </xdr:cNvPr>
        <xdr:cNvSpPr/>
      </xdr:nvSpPr>
      <xdr:spPr>
        <a:xfrm>
          <a:off x="0" y="2476500"/>
          <a:ext cx="1704974" cy="590550"/>
        </a:xfrm>
        <a:prstGeom prst="rect">
          <a:avLst/>
        </a:prstGeom>
        <a:solidFill>
          <a:srgbClr val="966C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4 - Gráficos</a:t>
          </a:r>
        </a:p>
      </xdr:txBody>
    </xdr:sp>
    <xdr:clientData/>
  </xdr:twoCellAnchor>
  <xdr:twoCellAnchor>
    <xdr:from>
      <xdr:col>0</xdr:col>
      <xdr:colOff>0</xdr:colOff>
      <xdr:row>16</xdr:row>
      <xdr:rowOff>47625</xdr:rowOff>
    </xdr:from>
    <xdr:to>
      <xdr:col>0</xdr:col>
      <xdr:colOff>1704974</xdr:colOff>
      <xdr:row>19</xdr:row>
      <xdr:rowOff>38100</xdr:rowOff>
    </xdr:to>
    <xdr:sp macro="" textlink="">
      <xdr:nvSpPr>
        <xdr:cNvPr id="8" name="Retângulo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5E8FCFF-3D8F-4762-95DF-E9568AFEAD1D}"/>
            </a:ext>
          </a:extLst>
        </xdr:cNvPr>
        <xdr:cNvSpPr/>
      </xdr:nvSpPr>
      <xdr:spPr>
        <a:xfrm>
          <a:off x="0" y="3086100"/>
          <a:ext cx="1704974" cy="590550"/>
        </a:xfrm>
        <a:prstGeom prst="rect">
          <a:avLst/>
        </a:prstGeom>
        <a:solidFill>
          <a:srgbClr val="966C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5 - Dados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0</xdr:col>
      <xdr:colOff>390525</xdr:colOff>
      <xdr:row>3</xdr:row>
      <xdr:rowOff>194132</xdr:rowOff>
    </xdr:to>
    <xdr:pic>
      <xdr:nvPicPr>
        <xdr:cNvPr id="2" name="Imagem 1" descr="Resultado de imagem para logo barbearia">
          <a:extLst>
            <a:ext uri="{FF2B5EF4-FFF2-40B4-BE49-F238E27FC236}">
              <a16:creationId xmlns:a16="http://schemas.microsoft.com/office/drawing/2014/main" id="{13C876DE-2130-460F-AA0A-C18E6497B0E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534" t="6578" r="23466" b="9649"/>
        <a:stretch/>
      </xdr:blipFill>
      <xdr:spPr bwMode="auto">
        <a:xfrm>
          <a:off x="9525" y="0"/>
          <a:ext cx="381000" cy="632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399721</xdr:colOff>
      <xdr:row>0</xdr:row>
      <xdr:rowOff>2673</xdr:rowOff>
    </xdr:from>
    <xdr:ext cx="1281954" cy="68223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25168BA-B9EB-4EE2-A26D-9BF3F4A3E1A0}"/>
            </a:ext>
          </a:extLst>
        </xdr:cNvPr>
        <xdr:cNvSpPr/>
      </xdr:nvSpPr>
      <xdr:spPr>
        <a:xfrm>
          <a:off x="399721" y="2673"/>
          <a:ext cx="1281954" cy="68223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pt-BR" sz="2000" b="1" cap="none" spc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solidFill>
                <a:srgbClr val="966C46"/>
              </a:solid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451</a:t>
          </a:r>
          <a:endParaRPr lang="pt-BR" sz="2000" b="1" cap="none" spc="0" baseline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solidFill>
              <a:srgbClr val="966C46"/>
            </a:solid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pt-BR" sz="2000" b="1" cap="none" spc="0" baseline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solidFill>
                <a:srgbClr val="966C46"/>
              </a:solid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BARBER</a:t>
          </a:r>
          <a:endParaRPr lang="pt-BR" sz="2000" b="1" cap="none" spc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solidFill>
              <a:srgbClr val="966C46"/>
            </a:solid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>
    <xdr:from>
      <xdr:col>0</xdr:col>
      <xdr:colOff>0</xdr:colOff>
      <xdr:row>3</xdr:row>
      <xdr:rowOff>193964</xdr:rowOff>
    </xdr:from>
    <xdr:to>
      <xdr:col>0</xdr:col>
      <xdr:colOff>1704974</xdr:colOff>
      <xdr:row>6</xdr:row>
      <xdr:rowOff>182707</xdr:rowOff>
    </xdr:to>
    <xdr:sp macro="" textlink="">
      <xdr:nvSpPr>
        <xdr:cNvPr id="4" name="Retâ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1A1BB0A-6C30-47E0-9FFA-475E1F2D2F66}"/>
            </a:ext>
          </a:extLst>
        </xdr:cNvPr>
        <xdr:cNvSpPr/>
      </xdr:nvSpPr>
      <xdr:spPr>
        <a:xfrm>
          <a:off x="0" y="632114"/>
          <a:ext cx="1704974" cy="588818"/>
        </a:xfrm>
        <a:prstGeom prst="rect">
          <a:avLst/>
        </a:prstGeom>
        <a:solidFill>
          <a:srgbClr val="966C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1</a:t>
          </a:r>
          <a:r>
            <a:rPr lang="pt-BR" sz="1400" baseline="0">
              <a:latin typeface="Arial" panose="020B0604020202020204" pitchFamily="34" charset="0"/>
              <a:cs typeface="Arial" panose="020B0604020202020204" pitchFamily="34" charset="0"/>
            </a:rPr>
            <a:t> - Painel Principal</a:t>
          </a:r>
          <a:endParaRPr lang="pt-BR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7</xdr:row>
      <xdr:rowOff>866</xdr:rowOff>
    </xdr:from>
    <xdr:to>
      <xdr:col>0</xdr:col>
      <xdr:colOff>1704974</xdr:colOff>
      <xdr:row>9</xdr:row>
      <xdr:rowOff>188768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115656-E088-450C-8652-E89CEA8DF904}"/>
            </a:ext>
          </a:extLst>
        </xdr:cNvPr>
        <xdr:cNvSpPr/>
      </xdr:nvSpPr>
      <xdr:spPr>
        <a:xfrm>
          <a:off x="0" y="1239116"/>
          <a:ext cx="1704974" cy="587952"/>
        </a:xfrm>
        <a:prstGeom prst="rect">
          <a:avLst/>
        </a:prstGeom>
        <a:solidFill>
          <a:srgbClr val="966C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2 - Conta</a:t>
          </a:r>
          <a:r>
            <a:rPr lang="pt-BR" sz="1400" baseline="0">
              <a:latin typeface="Arial" panose="020B0604020202020204" pitchFamily="34" charset="0"/>
              <a:cs typeface="Arial" panose="020B0604020202020204" pitchFamily="34" charset="0"/>
            </a:rPr>
            <a:t>s a Rec</a:t>
          </a:r>
          <a:endParaRPr lang="pt-BR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10</xdr:row>
      <xdr:rowOff>17318</xdr:rowOff>
    </xdr:from>
    <xdr:to>
      <xdr:col>0</xdr:col>
      <xdr:colOff>1704974</xdr:colOff>
      <xdr:row>13</xdr:row>
      <xdr:rowOff>5195</xdr:rowOff>
    </xdr:to>
    <xdr:sp macro="" textlink="">
      <xdr:nvSpPr>
        <xdr:cNvPr id="6" name="Retângul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819F71F-27A3-4030-B68F-0AFC75C285B4}"/>
            </a:ext>
          </a:extLst>
        </xdr:cNvPr>
        <xdr:cNvSpPr/>
      </xdr:nvSpPr>
      <xdr:spPr>
        <a:xfrm>
          <a:off x="0" y="1855643"/>
          <a:ext cx="1704974" cy="587952"/>
        </a:xfrm>
        <a:prstGeom prst="rect">
          <a:avLst/>
        </a:prstGeom>
        <a:solidFill>
          <a:srgbClr val="D5BDA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3 - Contas</a:t>
          </a:r>
          <a:r>
            <a:rPr lang="pt-BR" sz="1400" baseline="0">
              <a:latin typeface="Arial" panose="020B0604020202020204" pitchFamily="34" charset="0"/>
              <a:cs typeface="Arial" panose="020B0604020202020204" pitchFamily="34" charset="0"/>
            </a:rPr>
            <a:t> a Pag</a:t>
          </a:r>
          <a:endParaRPr lang="pt-BR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13</xdr:row>
      <xdr:rowOff>24245</xdr:rowOff>
    </xdr:from>
    <xdr:to>
      <xdr:col>0</xdr:col>
      <xdr:colOff>1704974</xdr:colOff>
      <xdr:row>16</xdr:row>
      <xdr:rowOff>12123</xdr:rowOff>
    </xdr:to>
    <xdr:sp macro="" textlink="">
      <xdr:nvSpPr>
        <xdr:cNvPr id="7" name="Retângulo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E500328-7693-4761-96D5-E4CD1DB0FA40}"/>
            </a:ext>
          </a:extLst>
        </xdr:cNvPr>
        <xdr:cNvSpPr/>
      </xdr:nvSpPr>
      <xdr:spPr>
        <a:xfrm>
          <a:off x="0" y="2462645"/>
          <a:ext cx="1704974" cy="587953"/>
        </a:xfrm>
        <a:prstGeom prst="rect">
          <a:avLst/>
        </a:prstGeom>
        <a:solidFill>
          <a:srgbClr val="966C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4 - Gráficos</a:t>
          </a:r>
        </a:p>
      </xdr:txBody>
    </xdr:sp>
    <xdr:clientData/>
  </xdr:twoCellAnchor>
  <xdr:twoCellAnchor>
    <xdr:from>
      <xdr:col>0</xdr:col>
      <xdr:colOff>0</xdr:colOff>
      <xdr:row>16</xdr:row>
      <xdr:rowOff>31173</xdr:rowOff>
    </xdr:from>
    <xdr:to>
      <xdr:col>0</xdr:col>
      <xdr:colOff>1704974</xdr:colOff>
      <xdr:row>19</xdr:row>
      <xdr:rowOff>19050</xdr:rowOff>
    </xdr:to>
    <xdr:sp macro="" textlink="">
      <xdr:nvSpPr>
        <xdr:cNvPr id="8" name="Retângulo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40A236F-5E20-4222-B5F2-448C5A63CDCA}"/>
            </a:ext>
          </a:extLst>
        </xdr:cNvPr>
        <xdr:cNvSpPr/>
      </xdr:nvSpPr>
      <xdr:spPr>
        <a:xfrm>
          <a:off x="0" y="3069648"/>
          <a:ext cx="1704974" cy="587952"/>
        </a:xfrm>
        <a:prstGeom prst="rect">
          <a:avLst/>
        </a:prstGeom>
        <a:solidFill>
          <a:srgbClr val="966C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5 - Dados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2407046</xdr:colOff>
      <xdr:row>31</xdr:row>
      <xdr:rowOff>115094</xdr:rowOff>
    </xdr:from>
    <xdr:to>
      <xdr:col>15</xdr:col>
      <xdr:colOff>460374</xdr:colOff>
      <xdr:row>57</xdr:row>
      <xdr:rowOff>79375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38CDE97-1820-4426-812C-163E1B523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9525</xdr:colOff>
      <xdr:row>0</xdr:row>
      <xdr:rowOff>0</xdr:rowOff>
    </xdr:from>
    <xdr:to>
      <xdr:col>0</xdr:col>
      <xdr:colOff>390525</xdr:colOff>
      <xdr:row>4</xdr:row>
      <xdr:rowOff>0</xdr:rowOff>
    </xdr:to>
    <xdr:pic>
      <xdr:nvPicPr>
        <xdr:cNvPr id="10" name="Imagem 9" descr="Resultado de imagem para logo barbearia">
          <a:extLst>
            <a:ext uri="{FF2B5EF4-FFF2-40B4-BE49-F238E27FC236}">
              <a16:creationId xmlns:a16="http://schemas.microsoft.com/office/drawing/2014/main" id="{CFFFB457-73EB-4428-80CF-7D3E91E30A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534" t="6578" r="23466" b="9649"/>
        <a:stretch/>
      </xdr:blipFill>
      <xdr:spPr bwMode="auto">
        <a:xfrm>
          <a:off x="9525" y="0"/>
          <a:ext cx="381000" cy="632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399721</xdr:colOff>
      <xdr:row>0</xdr:row>
      <xdr:rowOff>2673</xdr:rowOff>
    </xdr:from>
    <xdr:ext cx="1281954" cy="682238"/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86DB4E93-A0BF-4BAE-98F7-29065932DBD8}"/>
            </a:ext>
          </a:extLst>
        </xdr:cNvPr>
        <xdr:cNvSpPr/>
      </xdr:nvSpPr>
      <xdr:spPr>
        <a:xfrm>
          <a:off x="399721" y="2673"/>
          <a:ext cx="1281954" cy="68223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pt-BR" sz="2000" b="1" cap="none" spc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solidFill>
                <a:srgbClr val="966C46"/>
              </a:solid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451</a:t>
          </a:r>
          <a:endParaRPr lang="pt-BR" sz="2000" b="1" cap="none" spc="0" baseline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solidFill>
              <a:srgbClr val="966C46"/>
            </a:solid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pt-BR" sz="2000" b="1" cap="none" spc="0" baseline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solidFill>
                <a:srgbClr val="966C46"/>
              </a:solid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BARBER</a:t>
          </a:r>
          <a:endParaRPr lang="pt-BR" sz="2000" b="1" cap="none" spc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solidFill>
              <a:srgbClr val="966C46"/>
            </a:solid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>
    <xdr:from>
      <xdr:col>0</xdr:col>
      <xdr:colOff>0</xdr:colOff>
      <xdr:row>4</xdr:row>
      <xdr:rowOff>3464</xdr:rowOff>
    </xdr:from>
    <xdr:to>
      <xdr:col>0</xdr:col>
      <xdr:colOff>1704974</xdr:colOff>
      <xdr:row>7</xdr:row>
      <xdr:rowOff>192232</xdr:rowOff>
    </xdr:to>
    <xdr:sp macro="" textlink="">
      <xdr:nvSpPr>
        <xdr:cNvPr id="12" name="Retângulo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54D9491-572D-47C7-8E07-B7A1AF2BD917}"/>
            </a:ext>
          </a:extLst>
        </xdr:cNvPr>
        <xdr:cNvSpPr/>
      </xdr:nvSpPr>
      <xdr:spPr>
        <a:xfrm>
          <a:off x="0" y="632114"/>
          <a:ext cx="1704974" cy="588818"/>
        </a:xfrm>
        <a:prstGeom prst="rect">
          <a:avLst/>
        </a:prstGeom>
        <a:solidFill>
          <a:srgbClr val="966C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1</a:t>
          </a:r>
          <a:r>
            <a:rPr lang="pt-BR" sz="1400" baseline="0">
              <a:latin typeface="Arial" panose="020B0604020202020204" pitchFamily="34" charset="0"/>
              <a:cs typeface="Arial" panose="020B0604020202020204" pitchFamily="34" charset="0"/>
            </a:rPr>
            <a:t> - Painel Principal</a:t>
          </a:r>
          <a:endParaRPr lang="pt-BR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866</xdr:rowOff>
    </xdr:from>
    <xdr:to>
      <xdr:col>0</xdr:col>
      <xdr:colOff>1704974</xdr:colOff>
      <xdr:row>10</xdr:row>
      <xdr:rowOff>169718</xdr:rowOff>
    </xdr:to>
    <xdr:sp macro="" textlink="">
      <xdr:nvSpPr>
        <xdr:cNvPr id="13" name="Retângul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0F4520E-CF95-4B95-B4CC-AAA20A47B90C}"/>
            </a:ext>
          </a:extLst>
        </xdr:cNvPr>
        <xdr:cNvSpPr/>
      </xdr:nvSpPr>
      <xdr:spPr>
        <a:xfrm>
          <a:off x="0" y="1239116"/>
          <a:ext cx="1704974" cy="587952"/>
        </a:xfrm>
        <a:prstGeom prst="rect">
          <a:avLst/>
        </a:prstGeom>
        <a:solidFill>
          <a:srgbClr val="966C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2 - Conta</a:t>
          </a:r>
          <a:r>
            <a:rPr lang="pt-BR" sz="1400" baseline="0">
              <a:latin typeface="Arial" panose="020B0604020202020204" pitchFamily="34" charset="0"/>
              <a:cs typeface="Arial" panose="020B0604020202020204" pitchFamily="34" charset="0"/>
            </a:rPr>
            <a:t>s a Rec</a:t>
          </a:r>
          <a:endParaRPr lang="pt-BR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10</xdr:row>
      <xdr:rowOff>198293</xdr:rowOff>
    </xdr:from>
    <xdr:to>
      <xdr:col>0</xdr:col>
      <xdr:colOff>1704974</xdr:colOff>
      <xdr:row>13</xdr:row>
      <xdr:rowOff>157595</xdr:rowOff>
    </xdr:to>
    <xdr:sp macro="" textlink="">
      <xdr:nvSpPr>
        <xdr:cNvPr id="14" name="Retângulo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F4DF7AC-6C7C-4BCA-9C10-AEF9F8634937}"/>
            </a:ext>
          </a:extLst>
        </xdr:cNvPr>
        <xdr:cNvSpPr/>
      </xdr:nvSpPr>
      <xdr:spPr>
        <a:xfrm>
          <a:off x="0" y="1855643"/>
          <a:ext cx="1704974" cy="587952"/>
        </a:xfrm>
        <a:prstGeom prst="rect">
          <a:avLst/>
        </a:prstGeom>
        <a:solidFill>
          <a:srgbClr val="966C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3 - Contas</a:t>
          </a:r>
          <a:r>
            <a:rPr lang="pt-BR" sz="1400" baseline="0">
              <a:latin typeface="Arial" panose="020B0604020202020204" pitchFamily="34" charset="0"/>
              <a:cs typeface="Arial" panose="020B0604020202020204" pitchFamily="34" charset="0"/>
            </a:rPr>
            <a:t> a Pag</a:t>
          </a:r>
          <a:endParaRPr lang="pt-BR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13</xdr:row>
      <xdr:rowOff>176645</xdr:rowOff>
    </xdr:from>
    <xdr:to>
      <xdr:col>0</xdr:col>
      <xdr:colOff>1704974</xdr:colOff>
      <xdr:row>16</xdr:row>
      <xdr:rowOff>135948</xdr:rowOff>
    </xdr:to>
    <xdr:sp macro="" textlink="">
      <xdr:nvSpPr>
        <xdr:cNvPr id="15" name="Retângulo 1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1DE3E9B-3880-4CBD-9AE4-BC033E8A2000}"/>
            </a:ext>
          </a:extLst>
        </xdr:cNvPr>
        <xdr:cNvSpPr/>
      </xdr:nvSpPr>
      <xdr:spPr>
        <a:xfrm>
          <a:off x="0" y="2462645"/>
          <a:ext cx="1704974" cy="587953"/>
        </a:xfrm>
        <a:prstGeom prst="rect">
          <a:avLst/>
        </a:prstGeom>
        <a:solidFill>
          <a:srgbClr val="D5BDA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4 - Gráficos</a:t>
          </a:r>
        </a:p>
      </xdr:txBody>
    </xdr:sp>
    <xdr:clientData/>
  </xdr:twoCellAnchor>
  <xdr:twoCellAnchor>
    <xdr:from>
      <xdr:col>0</xdr:col>
      <xdr:colOff>0</xdr:colOff>
      <xdr:row>16</xdr:row>
      <xdr:rowOff>154998</xdr:rowOff>
    </xdr:from>
    <xdr:to>
      <xdr:col>0</xdr:col>
      <xdr:colOff>1704974</xdr:colOff>
      <xdr:row>19</xdr:row>
      <xdr:rowOff>114300</xdr:rowOff>
    </xdr:to>
    <xdr:sp macro="" textlink="">
      <xdr:nvSpPr>
        <xdr:cNvPr id="16" name="Retângulo 1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C415A38-0CA9-4A51-A420-C213F3980832}"/>
            </a:ext>
          </a:extLst>
        </xdr:cNvPr>
        <xdr:cNvSpPr/>
      </xdr:nvSpPr>
      <xdr:spPr>
        <a:xfrm>
          <a:off x="0" y="3069648"/>
          <a:ext cx="1704974" cy="587952"/>
        </a:xfrm>
        <a:prstGeom prst="rect">
          <a:avLst/>
        </a:prstGeom>
        <a:solidFill>
          <a:srgbClr val="966C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5 - Dados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4</xdr:row>
      <xdr:rowOff>76200</xdr:rowOff>
    </xdr:from>
    <xdr:to>
      <xdr:col>8</xdr:col>
      <xdr:colOff>361950</xdr:colOff>
      <xdr:row>6</xdr:row>
      <xdr:rowOff>104775</xdr:rowOff>
    </xdr:to>
    <xdr:sp macro="" textlink="">
      <xdr:nvSpPr>
        <xdr:cNvPr id="8" name="Retângulo: Cantos Arredondados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14F63-20F2-44A3-8D5D-DCECD74129FD}"/>
            </a:ext>
          </a:extLst>
        </xdr:cNvPr>
        <xdr:cNvSpPr/>
      </xdr:nvSpPr>
      <xdr:spPr>
        <a:xfrm>
          <a:off x="6229350" y="723900"/>
          <a:ext cx="1619250" cy="447675"/>
        </a:xfrm>
        <a:prstGeom prst="roundRect">
          <a:avLst>
            <a:gd name="adj" fmla="val 27305"/>
          </a:avLst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FONTE E SINTAXE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cio/Desktop/TeachX.git/trunk/Turma%20Maio%202017/Aula%209/Projeto%20Controle%20Financeiro%20Parte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INEL PRINCIPAL"/>
      <sheetName val="Dados"/>
      <sheetName val="Contas a Receber"/>
      <sheetName val="Contas a Pagar"/>
      <sheetName val="GRÁFICOS"/>
      <sheetName val="Calcula Financiamento"/>
    </sheetNames>
    <sheetDataSet>
      <sheetData sheetId="0"/>
      <sheetData sheetId="1"/>
      <sheetData sheetId="2"/>
      <sheetData sheetId="3">
        <row r="5">
          <cell r="G5" t="str">
            <v>2.01 - AGUA E ESGOTO</v>
          </cell>
          <cell r="I5">
            <v>88763.655640229787</v>
          </cell>
          <cell r="L5" t="str">
            <v>JANEIRO</v>
          </cell>
        </row>
        <row r="6">
          <cell r="G6" t="str">
            <v>2.02 - ALUGUEIS PASSIVOS</v>
          </cell>
          <cell r="I6">
            <v>69400.012166664965</v>
          </cell>
          <cell r="L6" t="str">
            <v>JANEIRO</v>
          </cell>
        </row>
        <row r="7">
          <cell r="G7" t="str">
            <v>2.03 - CAFÉ E LANCHES</v>
          </cell>
          <cell r="I7">
            <v>2725.8659944686306</v>
          </cell>
          <cell r="L7" t="str">
            <v>JANEIRO</v>
          </cell>
        </row>
        <row r="8">
          <cell r="G8" t="str">
            <v>2.04 - COMBUSTÍVEIS</v>
          </cell>
          <cell r="I8">
            <v>30771.329530381343</v>
          </cell>
          <cell r="L8" t="str">
            <v>FEVEREIRO</v>
          </cell>
        </row>
        <row r="9">
          <cell r="G9" t="str">
            <v>2.05 - DESCONTOS CONCEDIDOS</v>
          </cell>
          <cell r="I9">
            <v>96095.280992042186</v>
          </cell>
          <cell r="L9" t="str">
            <v>FEVEREIRO</v>
          </cell>
        </row>
        <row r="10">
          <cell r="G10" t="str">
            <v>2.01 - AGUA E ESGOTO</v>
          </cell>
          <cell r="I10">
            <v>94286.818162959273</v>
          </cell>
          <cell r="L10" t="str">
            <v>FEVEREIRO</v>
          </cell>
        </row>
        <row r="11">
          <cell r="G11" t="str">
            <v>2.02 - ALUGUEIS PASSIVOS</v>
          </cell>
          <cell r="I11">
            <v>42086.479604358494</v>
          </cell>
          <cell r="L11" t="str">
            <v>FEVEREIRO</v>
          </cell>
        </row>
        <row r="12">
          <cell r="G12" t="str">
            <v>2.03 - CAFÉ E LANCHES</v>
          </cell>
          <cell r="I12">
            <v>57492.157800963745</v>
          </cell>
          <cell r="L12" t="str">
            <v>MARÇO</v>
          </cell>
        </row>
        <row r="13">
          <cell r="G13" t="str">
            <v>2.04 - COMBUSTÍVEIS</v>
          </cell>
          <cell r="I13">
            <v>54405.027836518042</v>
          </cell>
          <cell r="L13" t="str">
            <v>ABRIL</v>
          </cell>
        </row>
        <row r="14">
          <cell r="G14" t="str">
            <v>2.01 - AGUA E ESGOTO</v>
          </cell>
          <cell r="I14">
            <v>16044.546907073742</v>
          </cell>
          <cell r="L14" t="str">
            <v>MARÇO</v>
          </cell>
        </row>
        <row r="15">
          <cell r="G15" t="str">
            <v>2.02 - ALUGUEIS PASSIVOS</v>
          </cell>
          <cell r="I15">
            <v>59395.600221944507</v>
          </cell>
          <cell r="L15" t="str">
            <v>MARÇO</v>
          </cell>
        </row>
        <row r="16">
          <cell r="G16" t="str">
            <v>2.03 - CAFÉ E LANCHES</v>
          </cell>
          <cell r="I16">
            <v>96865.801678924385</v>
          </cell>
          <cell r="L16" t="str">
            <v>MAIO</v>
          </cell>
        </row>
        <row r="17">
          <cell r="G17" t="str">
            <v>2.04 - COMBUSTÍVEIS</v>
          </cell>
          <cell r="I17">
            <v>14657.686908715395</v>
          </cell>
          <cell r="L17" t="str">
            <v>JUNHO</v>
          </cell>
        </row>
        <row r="18">
          <cell r="G18" t="str">
            <v>2.05 - DESCONTOS CONCEDIDOS</v>
          </cell>
          <cell r="I18">
            <v>84320.270022136552</v>
          </cell>
          <cell r="L18"/>
        </row>
        <row r="19">
          <cell r="G19" t="str">
            <v>2.06 - DESPESAS BANCARIAS</v>
          </cell>
          <cell r="I19">
            <v>79446.157502108443</v>
          </cell>
          <cell r="L19"/>
        </row>
        <row r="20">
          <cell r="G20" t="str">
            <v>2.01 - AGUA E ESGOTO</v>
          </cell>
          <cell r="I20">
            <v>82388.566365913983</v>
          </cell>
          <cell r="L20"/>
        </row>
        <row r="21">
          <cell r="G21" t="str">
            <v>2.02 - ALUGUEIS PASSIVOS</v>
          </cell>
          <cell r="I21">
            <v>40346.950807616719</v>
          </cell>
          <cell r="L21"/>
        </row>
        <row r="22">
          <cell r="G22" t="str">
            <v>2.03 - CAFÉ E LANCHES</v>
          </cell>
          <cell r="I22">
            <v>44519.990468603151</v>
          </cell>
          <cell r="L22"/>
        </row>
        <row r="23">
          <cell r="G23" t="str">
            <v>2.04 - COMBUSTÍVEIS</v>
          </cell>
          <cell r="I23">
            <v>73491.738284259394</v>
          </cell>
          <cell r="L23"/>
        </row>
        <row r="24">
          <cell r="G24" t="str">
            <v>2.05 - DESCONTOS CONCEDIDOS</v>
          </cell>
          <cell r="I24">
            <v>76370.853369711476</v>
          </cell>
          <cell r="L24"/>
        </row>
        <row r="25">
          <cell r="G25" t="str">
            <v>2.01 - AGUA E ESGOTO</v>
          </cell>
          <cell r="I25">
            <v>87969.79201833102</v>
          </cell>
          <cell r="L25"/>
        </row>
        <row r="26">
          <cell r="G26" t="str">
            <v>2.02 - ALUGUEIS PASSIVOS</v>
          </cell>
          <cell r="I26">
            <v>69934.378735321065</v>
          </cell>
          <cell r="L26"/>
        </row>
        <row r="27">
          <cell r="G27" t="str">
            <v>2.03 - CAFÉ E LANCHES</v>
          </cell>
          <cell r="I27">
            <v>28049.92705364955</v>
          </cell>
          <cell r="L27"/>
        </row>
        <row r="28">
          <cell r="G28" t="str">
            <v>2.04 - COMBUSTÍVEIS</v>
          </cell>
          <cell r="I28">
            <v>81534.823928330617</v>
          </cell>
          <cell r="L28"/>
        </row>
        <row r="29">
          <cell r="G29" t="str">
            <v>2.05 - DESCONTOS CONCEDIDOS</v>
          </cell>
          <cell r="I29">
            <v>23609.532570325719</v>
          </cell>
          <cell r="L29"/>
        </row>
        <row r="30">
          <cell r="G30" t="str">
            <v>2.06 - DESPESAS BANCARIAS</v>
          </cell>
          <cell r="I30">
            <v>26449.10273109041</v>
          </cell>
          <cell r="L30"/>
        </row>
      </sheetData>
      <sheetData sheetId="4">
        <row r="12">
          <cell r="P12">
            <v>848291.64628236392</v>
          </cell>
        </row>
        <row r="28">
          <cell r="P28">
            <v>-722990.2634452444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81BD"/>
  </sheetPr>
  <dimension ref="C1:Q20"/>
  <sheetViews>
    <sheetView showGridLines="0" showRowColHeaders="0" tabSelected="1" topLeftCell="O1" zoomScale="110" zoomScaleNormal="110" workbookViewId="0">
      <selection activeCell="V18" sqref="V18"/>
    </sheetView>
  </sheetViews>
  <sheetFormatPr defaultRowHeight="14.25" x14ac:dyDescent="0.2"/>
  <cols>
    <col min="1" max="1" width="25.7109375" style="7" customWidth="1"/>
    <col min="2" max="2" width="1.7109375" style="7" customWidth="1"/>
    <col min="3" max="14" width="9.140625" style="7"/>
    <col min="15" max="15" width="27.28515625" style="7" bestFit="1" customWidth="1"/>
    <col min="16" max="16" width="14.85546875" style="7" customWidth="1"/>
    <col min="17" max="16384" width="9.140625" style="7"/>
  </cols>
  <sheetData>
    <row r="1" spans="3:17" ht="9.9499999999999993" customHeight="1" x14ac:dyDescent="0.2"/>
    <row r="2" spans="3:17" ht="15" x14ac:dyDescent="0.25">
      <c r="C2" s="32" t="s">
        <v>60</v>
      </c>
      <c r="D2" s="32"/>
      <c r="E2" s="32"/>
      <c r="F2" s="32"/>
      <c r="G2" s="32"/>
      <c r="H2" s="32"/>
      <c r="I2" s="32"/>
      <c r="J2" s="32"/>
      <c r="K2" s="32"/>
      <c r="L2" s="32"/>
      <c r="M2" s="32"/>
    </row>
    <row r="3" spans="3:17" ht="9.9499999999999993" customHeight="1" x14ac:dyDescent="0.2"/>
    <row r="4" spans="3:17" ht="15" x14ac:dyDescent="0.25">
      <c r="C4" s="31" t="s">
        <v>61</v>
      </c>
      <c r="D4" s="31"/>
      <c r="E4" s="31"/>
      <c r="F4" s="31"/>
      <c r="G4" s="31"/>
      <c r="H4" s="31"/>
      <c r="I4" s="31"/>
      <c r="J4" s="31"/>
      <c r="K4" s="31"/>
      <c r="L4" s="31"/>
      <c r="M4" s="31"/>
      <c r="O4" s="8" t="s">
        <v>62</v>
      </c>
      <c r="P4" s="9">
        <f ca="1">SUMIF('Contas a Pagar'!$N$5:$N$40,"Pagamento Realizado",valor_cp)</f>
        <v>23750</v>
      </c>
      <c r="Q4" s="7" t="str">
        <f ca="1">_xlfn.FORMULATEXT(P4)</f>
        <v>=SOMASE('Contas a Pagar'!$N$5:$N$40;"Pagamento Realizado";valor_cp)</v>
      </c>
    </row>
    <row r="5" spans="3:17" x14ac:dyDescent="0.2"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O5" s="8" t="s">
        <v>63</v>
      </c>
      <c r="P5" s="9">
        <f ca="1">SUMIF('Contas a Pagar'!$N$5:$N$40,"A Pagar",valor_cp)</f>
        <v>6147</v>
      </c>
      <c r="Q5" s="7" t="str">
        <f t="shared" ref="Q5:Q9" ca="1" si="0">_xlfn.FORMULATEXT(P5)</f>
        <v>=SOMASE('Contas a Pagar'!$N$5:$N$40;"A Pagar";valor_cp)</v>
      </c>
    </row>
    <row r="6" spans="3:17" x14ac:dyDescent="0.2"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O6" s="8" t="s">
        <v>64</v>
      </c>
      <c r="P6" s="9">
        <f ca="1">SUMIF('Contas a Receber'!$O$5:$O$40,"recebido",'Contas a Receber'!$J$5:$J$40)</f>
        <v>1160</v>
      </c>
      <c r="Q6" s="7" t="str">
        <f t="shared" ca="1" si="0"/>
        <v>=SOMASE('Contas a Receber'!$O$5:$O$40;"recebido";'Contas a Receber'!$J$5:$J$40)</v>
      </c>
    </row>
    <row r="7" spans="3:17" x14ac:dyDescent="0.2"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O7" s="8" t="s">
        <v>65</v>
      </c>
      <c r="P7" s="9">
        <f ca="1">SUMIF('Contas a Receber'!$O$5:$O$40,"A receber",'Contas a Receber'!$J$5:$J$40)</f>
        <v>120</v>
      </c>
      <c r="Q7" s="7" t="str">
        <f t="shared" ca="1" si="0"/>
        <v>=SOMASE('Contas a Receber'!$O$5:$O$40;"A receber";'Contas a Receber'!$J$5:$J$40)</v>
      </c>
    </row>
    <row r="8" spans="3:17" x14ac:dyDescent="0.2"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O8" s="8" t="s">
        <v>137</v>
      </c>
      <c r="P8" s="8">
        <f>COUNTA('Contas a Receber'!$E$5:$E$40)</f>
        <v>36</v>
      </c>
      <c r="Q8" s="7" t="str">
        <f t="shared" ca="1" si="0"/>
        <v>=CONT.VALORES('Contas a Receber'!$E$5:$E$40)</v>
      </c>
    </row>
    <row r="9" spans="3:17" x14ac:dyDescent="0.2"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O9" s="8" t="s">
        <v>66</v>
      </c>
      <c r="P9" s="9">
        <f ca="1">P6-P4</f>
        <v>-22590</v>
      </c>
      <c r="Q9" s="7" t="str">
        <f t="shared" ca="1" si="0"/>
        <v>=P6-P4</v>
      </c>
    </row>
    <row r="10" spans="3:17" x14ac:dyDescent="0.2"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</row>
    <row r="11" spans="3:17" x14ac:dyDescent="0.2"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</row>
    <row r="12" spans="3:17" x14ac:dyDescent="0.2"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</row>
    <row r="13" spans="3:17" x14ac:dyDescent="0.2"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</row>
    <row r="14" spans="3:17" x14ac:dyDescent="0.2"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</row>
    <row r="15" spans="3:17" x14ac:dyDescent="0.2"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</row>
    <row r="16" spans="3:17" x14ac:dyDescent="0.2"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</row>
    <row r="17" spans="3:13" x14ac:dyDescent="0.2"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</row>
    <row r="18" spans="3:13" x14ac:dyDescent="0.2"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</row>
    <row r="19" spans="3:13" x14ac:dyDescent="0.2"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</row>
    <row r="20" spans="3:13" x14ac:dyDescent="0.2"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</row>
  </sheetData>
  <mergeCells count="3">
    <mergeCell ref="C4:M4"/>
    <mergeCell ref="C2:H2"/>
    <mergeCell ref="I2:M2"/>
  </mergeCells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showRowColHeader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5" sqref="C5"/>
    </sheetView>
  </sheetViews>
  <sheetFormatPr defaultRowHeight="15" x14ac:dyDescent="0.25"/>
  <cols>
    <col min="1" max="1" width="25.7109375" customWidth="1"/>
    <col min="2" max="2" width="1.7109375" customWidth="1"/>
    <col min="3" max="3" width="34.42578125" bestFit="1" customWidth="1"/>
    <col min="4" max="4" width="1.7109375" customWidth="1"/>
    <col min="5" max="5" width="36.28515625" bestFit="1" customWidth="1"/>
    <col min="6" max="6" width="1.7109375" customWidth="1"/>
    <col min="7" max="7" width="12" customWidth="1"/>
    <col min="8" max="8" width="1.7109375" customWidth="1"/>
    <col min="9" max="9" width="20" bestFit="1" customWidth="1"/>
    <col min="10" max="10" width="1.7109375" customWidth="1"/>
    <col min="11" max="11" width="15.85546875" bestFit="1" customWidth="1"/>
    <col min="12" max="12" width="10.5703125" bestFit="1" customWidth="1"/>
  </cols>
  <sheetData>
    <row r="1" spans="1:12" ht="9.9499999999999993" customHeight="1" x14ac:dyDescent="0.25">
      <c r="A1" s="33"/>
    </row>
    <row r="2" spans="1:12" x14ac:dyDescent="0.25">
      <c r="A2" s="33"/>
      <c r="C2" s="32" t="s">
        <v>0</v>
      </c>
      <c r="D2" s="32"/>
      <c r="E2" s="32"/>
      <c r="F2" s="32"/>
      <c r="G2" s="32"/>
      <c r="H2" s="32"/>
      <c r="I2" s="32"/>
      <c r="J2" s="32"/>
      <c r="K2" s="32"/>
      <c r="L2" s="32"/>
    </row>
    <row r="3" spans="1:12" ht="9.9499999999999993" customHeight="1" x14ac:dyDescent="0.25">
      <c r="A3" s="33"/>
    </row>
    <row r="4" spans="1:12" x14ac:dyDescent="0.25">
      <c r="A4" s="33"/>
      <c r="C4" s="1" t="s">
        <v>1</v>
      </c>
      <c r="E4" s="1" t="s">
        <v>2</v>
      </c>
      <c r="G4" s="1" t="s">
        <v>24</v>
      </c>
      <c r="I4" s="1" t="s">
        <v>25</v>
      </c>
      <c r="K4" s="1" t="s">
        <v>26</v>
      </c>
      <c r="L4" s="1" t="s">
        <v>40</v>
      </c>
    </row>
    <row r="5" spans="1:12" ht="15.75" thickBot="1" x14ac:dyDescent="0.3">
      <c r="C5" s="21" t="s">
        <v>3</v>
      </c>
      <c r="E5" s="21" t="s">
        <v>9</v>
      </c>
      <c r="G5" s="20" t="s">
        <v>27</v>
      </c>
      <c r="I5" s="20" t="s">
        <v>32</v>
      </c>
      <c r="K5" s="20" t="s">
        <v>37</v>
      </c>
      <c r="L5" s="23">
        <v>20</v>
      </c>
    </row>
    <row r="6" spans="1:12" ht="15.75" thickBot="1" x14ac:dyDescent="0.3">
      <c r="C6" s="21" t="s">
        <v>4</v>
      </c>
      <c r="E6" s="22" t="s">
        <v>10</v>
      </c>
      <c r="G6" s="20" t="s">
        <v>28</v>
      </c>
      <c r="I6" s="18" t="s">
        <v>33</v>
      </c>
      <c r="K6" s="18" t="s">
        <v>38</v>
      </c>
      <c r="L6" s="24">
        <v>25</v>
      </c>
    </row>
    <row r="7" spans="1:12" ht="15.75" thickBot="1" x14ac:dyDescent="0.3">
      <c r="C7" s="21" t="s">
        <v>5</v>
      </c>
      <c r="E7" s="22" t="s">
        <v>11</v>
      </c>
      <c r="G7" s="18" t="s">
        <v>29</v>
      </c>
      <c r="I7" s="18" t="s">
        <v>34</v>
      </c>
      <c r="K7" s="18" t="s">
        <v>39</v>
      </c>
      <c r="L7" s="24">
        <v>40</v>
      </c>
    </row>
    <row r="8" spans="1:12" ht="15.75" thickBot="1" x14ac:dyDescent="0.3">
      <c r="C8" s="21" t="s">
        <v>6</v>
      </c>
      <c r="E8" s="22" t="s">
        <v>12</v>
      </c>
      <c r="G8" s="18" t="s">
        <v>30</v>
      </c>
      <c r="I8" s="18" t="s">
        <v>35</v>
      </c>
      <c r="K8" s="18" t="s">
        <v>41</v>
      </c>
      <c r="L8" s="24">
        <v>30</v>
      </c>
    </row>
    <row r="9" spans="1:12" ht="15.75" thickBot="1" x14ac:dyDescent="0.3">
      <c r="C9" s="21" t="s">
        <v>7</v>
      </c>
      <c r="E9" s="22" t="s">
        <v>13</v>
      </c>
      <c r="G9" s="18" t="s">
        <v>31</v>
      </c>
      <c r="I9" s="18" t="s">
        <v>36</v>
      </c>
      <c r="K9" s="18" t="s">
        <v>42</v>
      </c>
      <c r="L9" s="24">
        <v>150</v>
      </c>
    </row>
    <row r="10" spans="1:12" ht="15.75" thickBot="1" x14ac:dyDescent="0.3">
      <c r="C10" s="21" t="s">
        <v>8</v>
      </c>
      <c r="E10" s="22" t="s">
        <v>14</v>
      </c>
      <c r="K10" s="18" t="s">
        <v>43</v>
      </c>
      <c r="L10" s="24">
        <v>80</v>
      </c>
    </row>
    <row r="11" spans="1:12" ht="15.75" thickBot="1" x14ac:dyDescent="0.3">
      <c r="E11" s="22" t="s">
        <v>15</v>
      </c>
      <c r="K11" s="18" t="s">
        <v>44</v>
      </c>
      <c r="L11" s="24">
        <v>75</v>
      </c>
    </row>
    <row r="12" spans="1:12" ht="15.75" thickBot="1" x14ac:dyDescent="0.3">
      <c r="E12" s="22" t="s">
        <v>16</v>
      </c>
      <c r="K12" s="18" t="s">
        <v>45</v>
      </c>
      <c r="L12" s="24">
        <v>60</v>
      </c>
    </row>
    <row r="13" spans="1:12" ht="15.75" thickBot="1" x14ac:dyDescent="0.3">
      <c r="E13" s="22" t="s">
        <v>17</v>
      </c>
      <c r="K13" s="18" t="s">
        <v>46</v>
      </c>
      <c r="L13" s="24">
        <v>35</v>
      </c>
    </row>
    <row r="14" spans="1:12" ht="15.75" thickBot="1" x14ac:dyDescent="0.3">
      <c r="E14" s="22" t="s">
        <v>18</v>
      </c>
      <c r="K14" s="18" t="s">
        <v>47</v>
      </c>
      <c r="L14" s="24">
        <v>30</v>
      </c>
    </row>
    <row r="15" spans="1:12" ht="15.75" thickBot="1" x14ac:dyDescent="0.3">
      <c r="E15" s="22" t="s">
        <v>19</v>
      </c>
      <c r="K15" s="18" t="s">
        <v>48</v>
      </c>
      <c r="L15" s="24">
        <v>15</v>
      </c>
    </row>
    <row r="16" spans="1:12" ht="15.75" thickBot="1" x14ac:dyDescent="0.3">
      <c r="E16" s="22" t="s">
        <v>20</v>
      </c>
    </row>
    <row r="17" spans="5:5" ht="15.75" thickBot="1" x14ac:dyDescent="0.3">
      <c r="E17" s="22" t="s">
        <v>21</v>
      </c>
    </row>
    <row r="18" spans="5:5" ht="15.75" thickBot="1" x14ac:dyDescent="0.3">
      <c r="E18" s="22" t="s">
        <v>22</v>
      </c>
    </row>
    <row r="19" spans="5:5" ht="15.75" thickBot="1" x14ac:dyDescent="0.3">
      <c r="E19" s="22" t="s">
        <v>23</v>
      </c>
    </row>
  </sheetData>
  <mergeCells count="2">
    <mergeCell ref="C2:L2"/>
    <mergeCell ref="A1:A4"/>
  </mergeCells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showGridLines="0" showRowColHeaders="0" zoomScale="110" zoomScaleNormal="110" workbookViewId="0">
      <pane xSplit="1" ySplit="4" topLeftCell="D25" activePane="bottomRight" state="frozen"/>
      <selection pane="topRight" activeCell="B1" sqref="B1"/>
      <selection pane="bottomLeft" activeCell="A5" sqref="A5"/>
      <selection pane="bottomRight" activeCell="O24" sqref="O24"/>
    </sheetView>
  </sheetViews>
  <sheetFormatPr defaultRowHeight="15" x14ac:dyDescent="0.25"/>
  <cols>
    <col min="1" max="1" width="25.7109375" customWidth="1"/>
    <col min="2" max="2" width="1.7109375" customWidth="1"/>
    <col min="3" max="3" width="12.85546875" style="3" bestFit="1" customWidth="1"/>
    <col min="4" max="4" width="12.5703125" bestFit="1" customWidth="1"/>
    <col min="5" max="5" width="16.5703125" customWidth="1"/>
    <col min="6" max="6" width="20" bestFit="1" customWidth="1"/>
    <col min="7" max="7" width="15.85546875" bestFit="1" customWidth="1"/>
    <col min="8" max="8" width="34.42578125" bestFit="1" customWidth="1"/>
    <col min="9" max="9" width="30.5703125" bestFit="1" customWidth="1"/>
    <col min="10" max="10" width="17" style="5" customWidth="1"/>
    <col min="11" max="11" width="15.5703125" bestFit="1" customWidth="1"/>
    <col min="12" max="13" width="13.5703125" customWidth="1"/>
    <col min="14" max="14" width="23.140625" style="3" bestFit="1" customWidth="1"/>
    <col min="15" max="15" width="28.85546875" customWidth="1"/>
  </cols>
  <sheetData>
    <row r="1" spans="1:15" ht="9.9499999999999993" customHeight="1" x14ac:dyDescent="0.25">
      <c r="A1" s="33"/>
    </row>
    <row r="2" spans="1:15" x14ac:dyDescent="0.25">
      <c r="A2" s="33"/>
      <c r="C2" s="32" t="s">
        <v>49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5" ht="9.9499999999999993" customHeight="1" x14ac:dyDescent="0.25">
      <c r="A3" s="33"/>
    </row>
    <row r="4" spans="1:15" ht="15.75" thickBot="1" x14ac:dyDescent="0.3">
      <c r="A4" s="33"/>
      <c r="C4" s="4" t="s">
        <v>50</v>
      </c>
      <c r="D4" s="2" t="s">
        <v>51</v>
      </c>
      <c r="E4" s="2" t="s">
        <v>52</v>
      </c>
      <c r="F4" s="2" t="s">
        <v>25</v>
      </c>
      <c r="G4" s="2" t="s">
        <v>53</v>
      </c>
      <c r="H4" s="2" t="s">
        <v>54</v>
      </c>
      <c r="I4" s="2" t="s">
        <v>55</v>
      </c>
      <c r="J4" s="6" t="s">
        <v>56</v>
      </c>
      <c r="K4" s="2" t="s">
        <v>57</v>
      </c>
      <c r="L4" s="2" t="s">
        <v>24</v>
      </c>
      <c r="M4" s="2" t="s">
        <v>140</v>
      </c>
      <c r="N4" s="4" t="s">
        <v>58</v>
      </c>
      <c r="O4" s="2" t="s">
        <v>59</v>
      </c>
    </row>
    <row r="5" spans="1:15" ht="15.75" thickBot="1" x14ac:dyDescent="0.3">
      <c r="C5" s="17">
        <v>42943</v>
      </c>
      <c r="D5" s="18">
        <v>31</v>
      </c>
      <c r="E5" s="20" t="s">
        <v>37</v>
      </c>
      <c r="F5" s="20" t="s">
        <v>32</v>
      </c>
      <c r="G5" s="18" t="s">
        <v>74</v>
      </c>
      <c r="H5" s="21" t="s">
        <v>3</v>
      </c>
      <c r="I5" s="18" t="s">
        <v>139</v>
      </c>
      <c r="J5" s="19">
        <f>IFERROR(VLOOKUP(E5,Dados!$K$5:$L$15,2,FALSE),"")</f>
        <v>20</v>
      </c>
      <c r="K5" s="18" t="str">
        <f>IF(ISBLANK(N5)&lt;&gt;TRUE,"S","N")</f>
        <v>S</v>
      </c>
      <c r="L5" s="20" t="s">
        <v>27</v>
      </c>
      <c r="M5" s="20" t="str">
        <f>PROPER(IF(ISBLANK(N5)=FALSE,TEXT(N5,"mmm"),""))</f>
        <v>Jul</v>
      </c>
      <c r="N5" s="17">
        <v>42943</v>
      </c>
      <c r="O5" s="18" t="str">
        <f ca="1">IF(ISBLANK(C5)=TRUE,"",IF(K5&lt;&gt;"S",IF(C5-TODAY()&lt;0,"Vencido",IF(C5-TODAY()&lt;7,"Próximo do Vencimento "&amp;C5-TODAY()&amp;" Dias","A Receber")),"Recebido"))</f>
        <v>Recebido</v>
      </c>
    </row>
    <row r="6" spans="1:15" ht="15.75" thickBot="1" x14ac:dyDescent="0.3">
      <c r="C6" s="17">
        <v>43054</v>
      </c>
      <c r="D6" s="18">
        <v>12</v>
      </c>
      <c r="E6" s="18" t="s">
        <v>38</v>
      </c>
      <c r="F6" s="20" t="s">
        <v>32</v>
      </c>
      <c r="G6" s="18" t="s">
        <v>132</v>
      </c>
      <c r="H6" s="21" t="s">
        <v>4</v>
      </c>
      <c r="I6" s="18" t="s">
        <v>139</v>
      </c>
      <c r="J6" s="19">
        <f>IFERROR(VLOOKUP(E6,Dados!$K$5:$L$15,2,FALSE),"")</f>
        <v>25</v>
      </c>
      <c r="K6" s="18" t="str">
        <f t="shared" ref="K6:K40" si="0">IF(ISBLANK(N6)&lt;&gt;TRUE,"S","N")</f>
        <v>S</v>
      </c>
      <c r="L6" s="20" t="s">
        <v>28</v>
      </c>
      <c r="M6" s="20" t="str">
        <f t="shared" ref="M6:M40" si="1">PROPER(IF(ISBLANK(N6)=FALSE,TEXT(N6,"mmm"),""))</f>
        <v>Nov</v>
      </c>
      <c r="N6" s="17">
        <v>43054</v>
      </c>
      <c r="O6" s="18" t="str">
        <f t="shared" ref="O6:O40" ca="1" si="2">IF(ISBLANK(C6)=TRUE,"",IF(K6&lt;&gt;"S",IF(C6-TODAY()&lt;0,"Vencido",IF(C6-TODAY()&lt;7,"Próximo do Vencimento "&amp;C6-TODAY()&amp;" Dias","A Receber")),"Recebido"))</f>
        <v>Recebido</v>
      </c>
    </row>
    <row r="7" spans="1:15" ht="15.75" thickBot="1" x14ac:dyDescent="0.3">
      <c r="C7" s="17">
        <v>42968</v>
      </c>
      <c r="D7" s="18">
        <v>15</v>
      </c>
      <c r="E7" s="18" t="s">
        <v>39</v>
      </c>
      <c r="F7" s="18" t="s">
        <v>33</v>
      </c>
      <c r="G7" s="18" t="s">
        <v>133</v>
      </c>
      <c r="H7" s="21" t="s">
        <v>5</v>
      </c>
      <c r="I7" s="18" t="s">
        <v>139</v>
      </c>
      <c r="J7" s="19">
        <f>IFERROR(VLOOKUP(E7,Dados!$K$5:$L$15,2,FALSE),"")</f>
        <v>40</v>
      </c>
      <c r="K7" s="18" t="str">
        <f t="shared" si="0"/>
        <v>N</v>
      </c>
      <c r="L7" s="18" t="s">
        <v>29</v>
      </c>
      <c r="M7" s="20" t="str">
        <f t="shared" si="1"/>
        <v/>
      </c>
      <c r="N7" s="17"/>
      <c r="O7" s="18" t="str">
        <f t="shared" ca="1" si="2"/>
        <v>A Receber</v>
      </c>
    </row>
    <row r="8" spans="1:15" ht="15.75" thickBot="1" x14ac:dyDescent="0.3">
      <c r="C8" s="17">
        <v>42947</v>
      </c>
      <c r="D8" s="18">
        <v>16</v>
      </c>
      <c r="E8" s="20" t="s">
        <v>37</v>
      </c>
      <c r="F8" s="18" t="s">
        <v>34</v>
      </c>
      <c r="G8" s="18" t="s">
        <v>134</v>
      </c>
      <c r="H8" s="21" t="s">
        <v>6</v>
      </c>
      <c r="I8" s="18" t="s">
        <v>139</v>
      </c>
      <c r="J8" s="19">
        <f>IFERROR(VLOOKUP(E8,Dados!$K$5:$L$15,2,FALSE),"")</f>
        <v>20</v>
      </c>
      <c r="K8" s="18" t="str">
        <f t="shared" si="0"/>
        <v>S</v>
      </c>
      <c r="L8" s="20" t="s">
        <v>27</v>
      </c>
      <c r="M8" s="20" t="str">
        <f t="shared" si="1"/>
        <v>Jul</v>
      </c>
      <c r="N8" s="17">
        <v>42947</v>
      </c>
      <c r="O8" s="18" t="str">
        <f t="shared" ca="1" si="2"/>
        <v>Recebido</v>
      </c>
    </row>
    <row r="9" spans="1:15" ht="15.75" thickBot="1" x14ac:dyDescent="0.3">
      <c r="C9" s="17">
        <v>42789</v>
      </c>
      <c r="D9" s="18">
        <v>33</v>
      </c>
      <c r="E9" s="18" t="s">
        <v>38</v>
      </c>
      <c r="F9" s="20" t="s">
        <v>32</v>
      </c>
      <c r="G9" s="18" t="s">
        <v>135</v>
      </c>
      <c r="H9" s="21" t="s">
        <v>7</v>
      </c>
      <c r="I9" s="18" t="s">
        <v>138</v>
      </c>
      <c r="J9" s="19">
        <f>IFERROR(VLOOKUP(E9,Dados!$K$5:$L$15,2,FALSE),"")</f>
        <v>25</v>
      </c>
      <c r="K9" s="18" t="str">
        <f t="shared" si="0"/>
        <v>S</v>
      </c>
      <c r="L9" s="20" t="s">
        <v>28</v>
      </c>
      <c r="M9" s="20" t="str">
        <f t="shared" si="1"/>
        <v>Fev</v>
      </c>
      <c r="N9" s="17">
        <v>42789</v>
      </c>
      <c r="O9" s="18" t="str">
        <f t="shared" ca="1" si="2"/>
        <v>Recebido</v>
      </c>
    </row>
    <row r="10" spans="1:15" ht="15.75" thickBot="1" x14ac:dyDescent="0.3">
      <c r="C10" s="17">
        <v>42798</v>
      </c>
      <c r="D10" s="18">
        <v>21</v>
      </c>
      <c r="E10" s="18" t="s">
        <v>39</v>
      </c>
      <c r="F10" s="18" t="s">
        <v>33</v>
      </c>
      <c r="G10" s="18" t="s">
        <v>136</v>
      </c>
      <c r="H10" s="21" t="s">
        <v>3</v>
      </c>
      <c r="I10" s="18" t="s">
        <v>139</v>
      </c>
      <c r="J10" s="19">
        <f>IFERROR(VLOOKUP(E10,Dados!$K$5:$L$15,2,FALSE),"")</f>
        <v>40</v>
      </c>
      <c r="K10" s="18" t="str">
        <f t="shared" si="0"/>
        <v>N</v>
      </c>
      <c r="L10" s="18" t="s">
        <v>29</v>
      </c>
      <c r="M10" s="20" t="str">
        <f t="shared" si="1"/>
        <v/>
      </c>
      <c r="N10" s="17"/>
      <c r="O10" s="18" t="str">
        <f t="shared" ca="1" si="2"/>
        <v>Vencido</v>
      </c>
    </row>
    <row r="11" spans="1:15" ht="15.75" thickBot="1" x14ac:dyDescent="0.3">
      <c r="C11" s="17">
        <v>42900</v>
      </c>
      <c r="D11" s="18">
        <v>9</v>
      </c>
      <c r="E11" s="18" t="s">
        <v>41</v>
      </c>
      <c r="F11" s="18" t="s">
        <v>34</v>
      </c>
      <c r="G11" s="18" t="s">
        <v>74</v>
      </c>
      <c r="H11" s="21" t="s">
        <v>4</v>
      </c>
      <c r="I11" s="18" t="s">
        <v>139</v>
      </c>
      <c r="J11" s="19">
        <f>IFERROR(VLOOKUP(E11,Dados!$K$5:$L$15,2,FALSE),"")</f>
        <v>30</v>
      </c>
      <c r="K11" s="18" t="str">
        <f t="shared" si="0"/>
        <v>S</v>
      </c>
      <c r="L11" s="20" t="s">
        <v>27</v>
      </c>
      <c r="M11" s="20" t="str">
        <f t="shared" si="1"/>
        <v>Jun</v>
      </c>
      <c r="N11" s="17">
        <v>42900</v>
      </c>
      <c r="O11" s="18" t="str">
        <f t="shared" ca="1" si="2"/>
        <v>Recebido</v>
      </c>
    </row>
    <row r="12" spans="1:15" ht="15.75" thickBot="1" x14ac:dyDescent="0.3">
      <c r="C12" s="17">
        <v>42832</v>
      </c>
      <c r="D12" s="18">
        <v>29</v>
      </c>
      <c r="E12" s="18" t="s">
        <v>42</v>
      </c>
      <c r="F12" s="18" t="s">
        <v>35</v>
      </c>
      <c r="G12" s="18" t="s">
        <v>132</v>
      </c>
      <c r="H12" s="21" t="s">
        <v>5</v>
      </c>
      <c r="I12" s="18" t="s">
        <v>139</v>
      </c>
      <c r="J12" s="19">
        <f>IFERROR(VLOOKUP(E12,Dados!$K$5:$L$15,2,FALSE),"")</f>
        <v>150</v>
      </c>
      <c r="K12" s="18" t="str">
        <f t="shared" si="0"/>
        <v>S</v>
      </c>
      <c r="L12" s="20" t="s">
        <v>28</v>
      </c>
      <c r="M12" s="20" t="str">
        <f t="shared" si="1"/>
        <v>Abr</v>
      </c>
      <c r="N12" s="17">
        <v>42832</v>
      </c>
      <c r="O12" s="18" t="str">
        <f t="shared" ca="1" si="2"/>
        <v>Recebido</v>
      </c>
    </row>
    <row r="13" spans="1:15" ht="15.75" thickBot="1" x14ac:dyDescent="0.3">
      <c r="C13" s="17">
        <v>42920</v>
      </c>
      <c r="D13" s="18">
        <v>60</v>
      </c>
      <c r="E13" s="20" t="s">
        <v>37</v>
      </c>
      <c r="F13" s="18" t="s">
        <v>36</v>
      </c>
      <c r="G13" s="18" t="s">
        <v>133</v>
      </c>
      <c r="H13" s="21" t="s">
        <v>3</v>
      </c>
      <c r="I13" s="18" t="s">
        <v>139</v>
      </c>
      <c r="J13" s="19">
        <f>IFERROR(VLOOKUP(E13,Dados!$K$5:$L$15,2,FALSE),"")</f>
        <v>20</v>
      </c>
      <c r="K13" s="18" t="str">
        <f t="shared" si="0"/>
        <v>S</v>
      </c>
      <c r="L13" s="18" t="s">
        <v>29</v>
      </c>
      <c r="M13" s="20" t="str">
        <f t="shared" si="1"/>
        <v>Jul</v>
      </c>
      <c r="N13" s="17">
        <v>42920</v>
      </c>
      <c r="O13" s="18" t="str">
        <f t="shared" ca="1" si="2"/>
        <v>Recebido</v>
      </c>
    </row>
    <row r="14" spans="1:15" ht="15.75" thickBot="1" x14ac:dyDescent="0.3">
      <c r="C14" s="17">
        <v>42766</v>
      </c>
      <c r="D14" s="18">
        <v>10</v>
      </c>
      <c r="E14" s="18" t="s">
        <v>38</v>
      </c>
      <c r="F14" s="20" t="s">
        <v>32</v>
      </c>
      <c r="G14" s="18" t="s">
        <v>74</v>
      </c>
      <c r="H14" s="21" t="s">
        <v>4</v>
      </c>
      <c r="I14" s="18" t="s">
        <v>139</v>
      </c>
      <c r="J14" s="19">
        <f>IFERROR(VLOOKUP(E14,Dados!$K$5:$L$15,2,FALSE),"")</f>
        <v>25</v>
      </c>
      <c r="K14" s="18" t="str">
        <f t="shared" si="0"/>
        <v>N</v>
      </c>
      <c r="L14" s="20" t="s">
        <v>27</v>
      </c>
      <c r="M14" s="20" t="str">
        <f t="shared" si="1"/>
        <v/>
      </c>
      <c r="N14" s="17"/>
      <c r="O14" s="18" t="str">
        <f t="shared" ca="1" si="2"/>
        <v>Vencido</v>
      </c>
    </row>
    <row r="15" spans="1:15" ht="15.75" thickBot="1" x14ac:dyDescent="0.3">
      <c r="C15" s="17">
        <v>42997</v>
      </c>
      <c r="D15" s="18">
        <v>24</v>
      </c>
      <c r="E15" s="18" t="s">
        <v>39</v>
      </c>
      <c r="F15" s="18" t="s">
        <v>33</v>
      </c>
      <c r="G15" s="18" t="s">
        <v>132</v>
      </c>
      <c r="H15" s="21" t="s">
        <v>5</v>
      </c>
      <c r="I15" s="18" t="s">
        <v>139</v>
      </c>
      <c r="J15" s="19">
        <f>IFERROR(VLOOKUP(E15,Dados!$K$5:$L$15,2,FALSE),"")</f>
        <v>40</v>
      </c>
      <c r="K15" s="18" t="str">
        <f t="shared" si="0"/>
        <v>S</v>
      </c>
      <c r="L15" s="20" t="s">
        <v>28</v>
      </c>
      <c r="M15" s="20" t="str">
        <f t="shared" si="1"/>
        <v>Set</v>
      </c>
      <c r="N15" s="17">
        <v>42997</v>
      </c>
      <c r="O15" s="18" t="str">
        <f t="shared" ca="1" si="2"/>
        <v>Recebido</v>
      </c>
    </row>
    <row r="16" spans="1:15" ht="15.75" thickBot="1" x14ac:dyDescent="0.3">
      <c r="C16" s="17">
        <v>42775</v>
      </c>
      <c r="D16" s="18">
        <v>1</v>
      </c>
      <c r="E16" s="18" t="s">
        <v>41</v>
      </c>
      <c r="F16" s="18" t="s">
        <v>34</v>
      </c>
      <c r="G16" s="18" t="s">
        <v>74</v>
      </c>
      <c r="H16" s="21" t="s">
        <v>6</v>
      </c>
      <c r="I16" s="18" t="s">
        <v>139</v>
      </c>
      <c r="J16" s="19">
        <f>IFERROR(VLOOKUP(E16,Dados!$K$5:$L$15,2,FALSE),"")</f>
        <v>30</v>
      </c>
      <c r="K16" s="18" t="str">
        <f t="shared" si="0"/>
        <v>S</v>
      </c>
      <c r="L16" s="18" t="s">
        <v>29</v>
      </c>
      <c r="M16" s="20" t="str">
        <f t="shared" si="1"/>
        <v>Fev</v>
      </c>
      <c r="N16" s="17">
        <v>42775</v>
      </c>
      <c r="O16" s="18" t="str">
        <f t="shared" ca="1" si="2"/>
        <v>Recebido</v>
      </c>
    </row>
    <row r="17" spans="3:15" ht="15.75" thickBot="1" x14ac:dyDescent="0.3">
      <c r="C17" s="17">
        <v>42993</v>
      </c>
      <c r="D17" s="18">
        <v>80</v>
      </c>
      <c r="E17" s="18" t="s">
        <v>42</v>
      </c>
      <c r="F17" s="18" t="s">
        <v>35</v>
      </c>
      <c r="G17" s="18" t="s">
        <v>74</v>
      </c>
      <c r="H17" s="21" t="s">
        <v>3</v>
      </c>
      <c r="I17" s="18" t="s">
        <v>139</v>
      </c>
      <c r="J17" s="19">
        <f>IFERROR(VLOOKUP(E17,Dados!$K$5:$L$15,2,FALSE),"")</f>
        <v>150</v>
      </c>
      <c r="K17" s="18" t="str">
        <f t="shared" si="0"/>
        <v>S</v>
      </c>
      <c r="L17" s="18" t="s">
        <v>30</v>
      </c>
      <c r="M17" s="20" t="str">
        <f t="shared" si="1"/>
        <v>Set</v>
      </c>
      <c r="N17" s="17">
        <v>42993</v>
      </c>
      <c r="O17" s="18" t="str">
        <f t="shared" ca="1" si="2"/>
        <v>Recebido</v>
      </c>
    </row>
    <row r="18" spans="3:15" ht="15.75" thickBot="1" x14ac:dyDescent="0.3">
      <c r="C18" s="17">
        <v>42852</v>
      </c>
      <c r="D18" s="18">
        <v>2</v>
      </c>
      <c r="E18" s="18" t="s">
        <v>43</v>
      </c>
      <c r="F18" s="20" t="s">
        <v>32</v>
      </c>
      <c r="G18" s="18" t="s">
        <v>74</v>
      </c>
      <c r="H18" s="21" t="s">
        <v>4</v>
      </c>
      <c r="I18" s="18" t="s">
        <v>139</v>
      </c>
      <c r="J18" s="19">
        <f>IFERROR(VLOOKUP(E18,Dados!$K$5:$L$15,2,FALSE),"")</f>
        <v>80</v>
      </c>
      <c r="K18" s="18" t="str">
        <f t="shared" si="0"/>
        <v>N</v>
      </c>
      <c r="L18" s="20" t="s">
        <v>27</v>
      </c>
      <c r="M18" s="20" t="str">
        <f t="shared" si="1"/>
        <v/>
      </c>
      <c r="N18" s="17"/>
      <c r="O18" s="18" t="str">
        <f t="shared" ca="1" si="2"/>
        <v>Vencido</v>
      </c>
    </row>
    <row r="19" spans="3:15" ht="15.75" thickBot="1" x14ac:dyDescent="0.3">
      <c r="C19" s="17">
        <v>42984</v>
      </c>
      <c r="D19" s="18">
        <v>68</v>
      </c>
      <c r="E19" s="18" t="s">
        <v>44</v>
      </c>
      <c r="F19" s="18" t="s">
        <v>33</v>
      </c>
      <c r="G19" s="18" t="s">
        <v>132</v>
      </c>
      <c r="H19" s="21" t="s">
        <v>5</v>
      </c>
      <c r="I19" s="18" t="s">
        <v>139</v>
      </c>
      <c r="J19" s="19">
        <f>IFERROR(VLOOKUP(E19,Dados!$K$5:$L$15,2,FALSE),"")</f>
        <v>75</v>
      </c>
      <c r="K19" s="18" t="str">
        <f t="shared" si="0"/>
        <v>S</v>
      </c>
      <c r="L19" s="20" t="s">
        <v>28</v>
      </c>
      <c r="M19" s="20" t="str">
        <f t="shared" si="1"/>
        <v>Set</v>
      </c>
      <c r="N19" s="17">
        <v>42984</v>
      </c>
      <c r="O19" s="18" t="str">
        <f t="shared" ca="1" si="2"/>
        <v>Recebido</v>
      </c>
    </row>
    <row r="20" spans="3:15" ht="15.75" thickBot="1" x14ac:dyDescent="0.3">
      <c r="C20" s="17">
        <v>42779</v>
      </c>
      <c r="D20" s="18">
        <v>11</v>
      </c>
      <c r="E20" s="18" t="s">
        <v>45</v>
      </c>
      <c r="F20" s="18" t="s">
        <v>34</v>
      </c>
      <c r="G20" s="18" t="s">
        <v>133</v>
      </c>
      <c r="H20" s="21" t="s">
        <v>6</v>
      </c>
      <c r="I20" s="18" t="s">
        <v>139</v>
      </c>
      <c r="J20" s="19">
        <f>IFERROR(VLOOKUP(E20,Dados!$K$5:$L$15,2,FALSE),"")</f>
        <v>60</v>
      </c>
      <c r="K20" s="18" t="str">
        <f t="shared" si="0"/>
        <v>N</v>
      </c>
      <c r="L20" s="18" t="s">
        <v>29</v>
      </c>
      <c r="M20" s="20" t="str">
        <f t="shared" si="1"/>
        <v/>
      </c>
      <c r="N20" s="17"/>
      <c r="O20" s="18" t="str">
        <f t="shared" ca="1" si="2"/>
        <v>Vencido</v>
      </c>
    </row>
    <row r="21" spans="3:15" ht="15.75" thickBot="1" x14ac:dyDescent="0.3">
      <c r="C21" s="17">
        <v>42900</v>
      </c>
      <c r="D21" s="18">
        <v>59</v>
      </c>
      <c r="E21" s="18" t="s">
        <v>46</v>
      </c>
      <c r="F21" s="18" t="s">
        <v>35</v>
      </c>
      <c r="G21" s="18" t="s">
        <v>134</v>
      </c>
      <c r="H21" s="21" t="s">
        <v>7</v>
      </c>
      <c r="I21" s="18" t="s">
        <v>138</v>
      </c>
      <c r="J21" s="19">
        <f>IFERROR(VLOOKUP(E21,Dados!$K$5:$L$15,2,FALSE),"")</f>
        <v>35</v>
      </c>
      <c r="K21" s="18" t="str">
        <f t="shared" si="0"/>
        <v>S</v>
      </c>
      <c r="L21" s="18" t="s">
        <v>30</v>
      </c>
      <c r="M21" s="20" t="str">
        <f t="shared" si="1"/>
        <v>Jun</v>
      </c>
      <c r="N21" s="17">
        <v>42900</v>
      </c>
      <c r="O21" s="18" t="str">
        <f t="shared" ca="1" si="2"/>
        <v>Recebido</v>
      </c>
    </row>
    <row r="22" spans="3:15" ht="15.75" thickBot="1" x14ac:dyDescent="0.3">
      <c r="C22" s="17">
        <v>42782</v>
      </c>
      <c r="D22" s="18">
        <v>28</v>
      </c>
      <c r="E22" s="18" t="s">
        <v>47</v>
      </c>
      <c r="F22" s="20" t="s">
        <v>32</v>
      </c>
      <c r="G22" s="18" t="s">
        <v>135</v>
      </c>
      <c r="H22" s="21" t="s">
        <v>8</v>
      </c>
      <c r="I22" s="18" t="s">
        <v>138</v>
      </c>
      <c r="J22" s="19">
        <f>IFERROR(VLOOKUP(E22,Dados!$K$5:$L$15,2,FALSE),"")</f>
        <v>30</v>
      </c>
      <c r="K22" s="18" t="str">
        <f t="shared" si="0"/>
        <v>N</v>
      </c>
      <c r="L22" s="20" t="s">
        <v>27</v>
      </c>
      <c r="M22" s="20" t="str">
        <f t="shared" si="1"/>
        <v/>
      </c>
      <c r="N22" s="17"/>
      <c r="O22" s="18" t="str">
        <f t="shared" ca="1" si="2"/>
        <v>Vencido</v>
      </c>
    </row>
    <row r="23" spans="3:15" ht="15.75" thickBot="1" x14ac:dyDescent="0.3">
      <c r="C23" s="17">
        <v>42823</v>
      </c>
      <c r="D23" s="18">
        <v>13</v>
      </c>
      <c r="E23" s="18" t="s">
        <v>48</v>
      </c>
      <c r="F23" s="18" t="s">
        <v>33</v>
      </c>
      <c r="G23" s="18" t="s">
        <v>136</v>
      </c>
      <c r="H23" s="21" t="s">
        <v>3</v>
      </c>
      <c r="I23" s="18" t="s">
        <v>139</v>
      </c>
      <c r="J23" s="19">
        <f>IFERROR(VLOOKUP(E23,Dados!$K$5:$L$15,2,FALSE),"")</f>
        <v>15</v>
      </c>
      <c r="K23" s="18" t="str">
        <f t="shared" si="0"/>
        <v>S</v>
      </c>
      <c r="L23" s="20" t="s">
        <v>28</v>
      </c>
      <c r="M23" s="20" t="str">
        <f t="shared" si="1"/>
        <v>Mar</v>
      </c>
      <c r="N23" s="17">
        <v>42823</v>
      </c>
      <c r="O23" s="18" t="str">
        <f t="shared" ca="1" si="2"/>
        <v>Recebido</v>
      </c>
    </row>
    <row r="24" spans="3:15" ht="15.75" thickBot="1" x14ac:dyDescent="0.3">
      <c r="C24" s="17">
        <v>42935</v>
      </c>
      <c r="D24" s="18">
        <v>25</v>
      </c>
      <c r="E24" s="20" t="s">
        <v>37</v>
      </c>
      <c r="F24" s="18" t="s">
        <v>34</v>
      </c>
      <c r="G24" s="18" t="s">
        <v>74</v>
      </c>
      <c r="H24" s="21" t="s">
        <v>4</v>
      </c>
      <c r="I24" s="18" t="s">
        <v>139</v>
      </c>
      <c r="J24" s="19">
        <f>IFERROR(VLOOKUP(E24,Dados!$K$5:$L$15,2,FALSE),"")</f>
        <v>20</v>
      </c>
      <c r="K24" s="18" t="str">
        <f t="shared" si="0"/>
        <v>N</v>
      </c>
      <c r="L24" s="18" t="s">
        <v>29</v>
      </c>
      <c r="M24" s="20" t="str">
        <f t="shared" si="1"/>
        <v/>
      </c>
      <c r="N24" s="17"/>
      <c r="O24" s="18" t="str">
        <f t="shared" ca="1" si="2"/>
        <v>Vencido</v>
      </c>
    </row>
    <row r="25" spans="3:15" ht="15.75" thickBot="1" x14ac:dyDescent="0.3">
      <c r="C25" s="17">
        <v>42760</v>
      </c>
      <c r="D25" s="18">
        <v>50</v>
      </c>
      <c r="E25" s="18" t="s">
        <v>38</v>
      </c>
      <c r="F25" s="18" t="s">
        <v>35</v>
      </c>
      <c r="G25" s="18" t="s">
        <v>132</v>
      </c>
      <c r="H25" s="21" t="s">
        <v>5</v>
      </c>
      <c r="I25" s="18" t="s">
        <v>139</v>
      </c>
      <c r="J25" s="19">
        <f>IFERROR(VLOOKUP(E25,Dados!$K$5:$L$15,2,FALSE),"")</f>
        <v>25</v>
      </c>
      <c r="K25" s="18" t="str">
        <f t="shared" si="0"/>
        <v>S</v>
      </c>
      <c r="L25" s="20" t="s">
        <v>27</v>
      </c>
      <c r="M25" s="20" t="str">
        <f t="shared" si="1"/>
        <v>Jan</v>
      </c>
      <c r="N25" s="17">
        <v>42760</v>
      </c>
      <c r="O25" s="18" t="str">
        <f t="shared" ca="1" si="2"/>
        <v>Recebido</v>
      </c>
    </row>
    <row r="26" spans="3:15" ht="15.75" thickBot="1" x14ac:dyDescent="0.3">
      <c r="C26" s="17">
        <v>42777</v>
      </c>
      <c r="D26" s="18">
        <v>19</v>
      </c>
      <c r="E26" s="18" t="s">
        <v>39</v>
      </c>
      <c r="F26" s="20" t="s">
        <v>32</v>
      </c>
      <c r="G26" s="18" t="s">
        <v>133</v>
      </c>
      <c r="H26" s="21" t="s">
        <v>6</v>
      </c>
      <c r="I26" s="18" t="s">
        <v>139</v>
      </c>
      <c r="J26" s="19">
        <f>IFERROR(VLOOKUP(E26,Dados!$K$5:$L$15,2,FALSE),"")</f>
        <v>40</v>
      </c>
      <c r="K26" s="18" t="str">
        <f t="shared" si="0"/>
        <v>S</v>
      </c>
      <c r="L26" s="20" t="s">
        <v>28</v>
      </c>
      <c r="M26" s="20" t="str">
        <f t="shared" si="1"/>
        <v>Fev</v>
      </c>
      <c r="N26" s="17">
        <v>42777</v>
      </c>
      <c r="O26" s="18" t="str">
        <f t="shared" ca="1" si="2"/>
        <v>Recebido</v>
      </c>
    </row>
    <row r="27" spans="3:15" ht="15.75" thickBot="1" x14ac:dyDescent="0.3">
      <c r="C27" s="17">
        <v>42885</v>
      </c>
      <c r="D27" s="18">
        <v>54</v>
      </c>
      <c r="E27" s="18" t="s">
        <v>41</v>
      </c>
      <c r="F27" s="18" t="s">
        <v>33</v>
      </c>
      <c r="G27" s="18" t="s">
        <v>134</v>
      </c>
      <c r="H27" s="21" t="s">
        <v>3</v>
      </c>
      <c r="I27" s="18" t="s">
        <v>139</v>
      </c>
      <c r="J27" s="19">
        <f>IFERROR(VLOOKUP(E27,Dados!$K$5:$L$15,2,FALSE),"")</f>
        <v>30</v>
      </c>
      <c r="K27" s="18" t="str">
        <f t="shared" si="0"/>
        <v>N</v>
      </c>
      <c r="L27" s="18" t="s">
        <v>29</v>
      </c>
      <c r="M27" s="20" t="str">
        <f t="shared" si="1"/>
        <v/>
      </c>
      <c r="N27" s="17"/>
      <c r="O27" s="18" t="str">
        <f t="shared" ca="1" si="2"/>
        <v>Vencido</v>
      </c>
    </row>
    <row r="28" spans="3:15" ht="15.75" thickBot="1" x14ac:dyDescent="0.3">
      <c r="C28" s="17">
        <v>42865</v>
      </c>
      <c r="D28" s="18">
        <v>13</v>
      </c>
      <c r="E28" s="18" t="s">
        <v>42</v>
      </c>
      <c r="F28" s="18" t="s">
        <v>34</v>
      </c>
      <c r="G28" s="18" t="s">
        <v>135</v>
      </c>
      <c r="H28" s="21" t="s">
        <v>4</v>
      </c>
      <c r="I28" s="18" t="s">
        <v>139</v>
      </c>
      <c r="J28" s="19">
        <f>IFERROR(VLOOKUP(E28,Dados!$K$5:$L$15,2,FALSE),"")</f>
        <v>150</v>
      </c>
      <c r="K28" s="18" t="str">
        <f t="shared" si="0"/>
        <v>S</v>
      </c>
      <c r="L28" s="18" t="s">
        <v>30</v>
      </c>
      <c r="M28" s="20" t="str">
        <f t="shared" si="1"/>
        <v>Mai</v>
      </c>
      <c r="N28" s="17">
        <v>42865</v>
      </c>
      <c r="O28" s="18" t="str">
        <f t="shared" ca="1" si="2"/>
        <v>Recebido</v>
      </c>
    </row>
    <row r="29" spans="3:15" ht="15.75" thickBot="1" x14ac:dyDescent="0.3">
      <c r="C29" s="17">
        <v>42992</v>
      </c>
      <c r="D29" s="18">
        <v>72</v>
      </c>
      <c r="E29" s="18" t="s">
        <v>43</v>
      </c>
      <c r="F29" s="18" t="s">
        <v>35</v>
      </c>
      <c r="G29" s="18" t="s">
        <v>74</v>
      </c>
      <c r="H29" s="21" t="s">
        <v>5</v>
      </c>
      <c r="I29" s="18" t="s">
        <v>139</v>
      </c>
      <c r="J29" s="19">
        <f>IFERROR(VLOOKUP(E29,Dados!$K$5:$L$15,2,FALSE),"")</f>
        <v>80</v>
      </c>
      <c r="K29" s="18" t="str">
        <f t="shared" si="0"/>
        <v>N</v>
      </c>
      <c r="L29" s="18" t="s">
        <v>31</v>
      </c>
      <c r="M29" s="20" t="str">
        <f t="shared" si="1"/>
        <v/>
      </c>
      <c r="N29" s="17"/>
      <c r="O29" s="18" t="str">
        <f t="shared" ca="1" si="2"/>
        <v>A Receber</v>
      </c>
    </row>
    <row r="30" spans="3:15" ht="15.75" thickBot="1" x14ac:dyDescent="0.3">
      <c r="C30" s="17">
        <v>42929</v>
      </c>
      <c r="D30" s="18">
        <v>8</v>
      </c>
      <c r="E30" s="18" t="s">
        <v>44</v>
      </c>
      <c r="F30" s="18" t="s">
        <v>36</v>
      </c>
      <c r="G30" s="18" t="s">
        <v>132</v>
      </c>
      <c r="H30" s="21" t="s">
        <v>6</v>
      </c>
      <c r="I30" s="18" t="s">
        <v>139</v>
      </c>
      <c r="J30" s="19">
        <f>IFERROR(VLOOKUP(E30,Dados!$K$5:$L$15,2,FALSE),"")</f>
        <v>75</v>
      </c>
      <c r="K30" s="18" t="str">
        <f t="shared" si="0"/>
        <v>S</v>
      </c>
      <c r="L30" s="20" t="s">
        <v>28</v>
      </c>
      <c r="M30" s="20" t="str">
        <f t="shared" si="1"/>
        <v>Jul</v>
      </c>
      <c r="N30" s="17">
        <v>42929</v>
      </c>
      <c r="O30" s="18" t="str">
        <f t="shared" ca="1" si="2"/>
        <v>Recebido</v>
      </c>
    </row>
    <row r="31" spans="3:15" ht="15.75" thickBot="1" x14ac:dyDescent="0.3">
      <c r="C31" s="17">
        <v>42813</v>
      </c>
      <c r="D31" s="18">
        <v>39</v>
      </c>
      <c r="E31" s="20" t="s">
        <v>37</v>
      </c>
      <c r="F31" s="20" t="s">
        <v>32</v>
      </c>
      <c r="G31" s="18" t="s">
        <v>133</v>
      </c>
      <c r="H31" s="21" t="s">
        <v>7</v>
      </c>
      <c r="I31" s="18" t="s">
        <v>138</v>
      </c>
      <c r="J31" s="19">
        <f>IFERROR(VLOOKUP(E31,Dados!$K$5:$L$15,2,FALSE),"")</f>
        <v>20</v>
      </c>
      <c r="K31" s="18" t="str">
        <f t="shared" si="0"/>
        <v>S</v>
      </c>
      <c r="L31" s="18" t="s">
        <v>29</v>
      </c>
      <c r="M31" s="20" t="str">
        <f t="shared" si="1"/>
        <v>Mar</v>
      </c>
      <c r="N31" s="17">
        <v>42813</v>
      </c>
      <c r="O31" s="18" t="str">
        <f t="shared" ca="1" si="2"/>
        <v>Recebido</v>
      </c>
    </row>
    <row r="32" spans="3:15" ht="15.75" thickBot="1" x14ac:dyDescent="0.3">
      <c r="C32" s="17">
        <v>42855</v>
      </c>
      <c r="D32" s="18">
        <v>39</v>
      </c>
      <c r="E32" s="18" t="s">
        <v>38</v>
      </c>
      <c r="F32" s="18" t="s">
        <v>33</v>
      </c>
      <c r="G32" s="18" t="s">
        <v>134</v>
      </c>
      <c r="H32" s="21" t="s">
        <v>8</v>
      </c>
      <c r="I32" s="18" t="s">
        <v>138</v>
      </c>
      <c r="J32" s="19">
        <f>IFERROR(VLOOKUP(E32,Dados!$K$5:$L$15,2,FALSE),"")</f>
        <v>25</v>
      </c>
      <c r="K32" s="18" t="str">
        <f t="shared" si="0"/>
        <v>S</v>
      </c>
      <c r="L32" s="18" t="s">
        <v>30</v>
      </c>
      <c r="M32" s="20" t="str">
        <f t="shared" si="1"/>
        <v>Abr</v>
      </c>
      <c r="N32" s="17">
        <v>42855</v>
      </c>
      <c r="O32" s="18" t="str">
        <f t="shared" ca="1" si="2"/>
        <v>Recebido</v>
      </c>
    </row>
    <row r="33" spans="3:15" ht="15.75" thickBot="1" x14ac:dyDescent="0.3">
      <c r="C33" s="17">
        <v>42988</v>
      </c>
      <c r="D33" s="18">
        <v>4</v>
      </c>
      <c r="E33" s="18" t="s">
        <v>39</v>
      </c>
      <c r="F33" s="18" t="s">
        <v>34</v>
      </c>
      <c r="G33" s="18" t="s">
        <v>135</v>
      </c>
      <c r="H33" s="21" t="s">
        <v>3</v>
      </c>
      <c r="I33" s="18" t="s">
        <v>139</v>
      </c>
      <c r="J33" s="19">
        <f>IFERROR(VLOOKUP(E33,Dados!$K$5:$L$15,2,FALSE),"")</f>
        <v>40</v>
      </c>
      <c r="K33" s="18" t="str">
        <f t="shared" si="0"/>
        <v>S</v>
      </c>
      <c r="L33" s="20" t="s">
        <v>27</v>
      </c>
      <c r="M33" s="20" t="str">
        <f t="shared" si="1"/>
        <v>Set</v>
      </c>
      <c r="N33" s="17">
        <v>42988</v>
      </c>
      <c r="O33" s="18" t="str">
        <f t="shared" ca="1" si="2"/>
        <v>Recebido</v>
      </c>
    </row>
    <row r="34" spans="3:15" ht="15.75" thickBot="1" x14ac:dyDescent="0.3">
      <c r="C34" s="17">
        <v>42770</v>
      </c>
      <c r="D34" s="18">
        <v>39</v>
      </c>
      <c r="E34" s="18" t="s">
        <v>41</v>
      </c>
      <c r="F34" s="18" t="s">
        <v>35</v>
      </c>
      <c r="G34" s="18" t="s">
        <v>136</v>
      </c>
      <c r="H34" s="21" t="s">
        <v>4</v>
      </c>
      <c r="I34" s="18" t="s">
        <v>139</v>
      </c>
      <c r="J34" s="19">
        <f>IFERROR(VLOOKUP(E34,Dados!$K$5:$L$15,2,FALSE),"")</f>
        <v>30</v>
      </c>
      <c r="K34" s="18" t="str">
        <f t="shared" si="0"/>
        <v>N</v>
      </c>
      <c r="L34" s="20" t="s">
        <v>28</v>
      </c>
      <c r="M34" s="20" t="str">
        <f t="shared" si="1"/>
        <v/>
      </c>
      <c r="N34" s="17"/>
      <c r="O34" s="18" t="str">
        <f t="shared" ca="1" si="2"/>
        <v>Vencido</v>
      </c>
    </row>
    <row r="35" spans="3:15" ht="15.75" thickBot="1" x14ac:dyDescent="0.3">
      <c r="C35" s="17">
        <v>42966</v>
      </c>
      <c r="D35" s="18">
        <v>24</v>
      </c>
      <c r="E35" s="20" t="s">
        <v>37</v>
      </c>
      <c r="F35" s="18" t="s">
        <v>36</v>
      </c>
      <c r="G35" s="18" t="s">
        <v>74</v>
      </c>
      <c r="H35" s="21" t="s">
        <v>3</v>
      </c>
      <c r="I35" s="18" t="s">
        <v>139</v>
      </c>
      <c r="J35" s="19">
        <f>IFERROR(VLOOKUP(E35,Dados!$K$5:$L$15,2,FALSE),"")</f>
        <v>20</v>
      </c>
      <c r="K35" s="18" t="str">
        <f t="shared" si="0"/>
        <v>S</v>
      </c>
      <c r="L35" s="18" t="s">
        <v>29</v>
      </c>
      <c r="M35" s="20" t="str">
        <f t="shared" si="1"/>
        <v>Ago</v>
      </c>
      <c r="N35" s="17">
        <v>42966</v>
      </c>
      <c r="O35" s="18" t="str">
        <f t="shared" ca="1" si="2"/>
        <v>Recebido</v>
      </c>
    </row>
    <row r="36" spans="3:15" ht="15.75" thickBot="1" x14ac:dyDescent="0.3">
      <c r="C36" s="17">
        <v>42951</v>
      </c>
      <c r="D36" s="18">
        <v>76</v>
      </c>
      <c r="E36" s="18" t="s">
        <v>38</v>
      </c>
      <c r="F36" s="18" t="s">
        <v>33</v>
      </c>
      <c r="G36" s="18" t="s">
        <v>132</v>
      </c>
      <c r="H36" s="21" t="s">
        <v>4</v>
      </c>
      <c r="I36" s="18" t="s">
        <v>139</v>
      </c>
      <c r="J36" s="19">
        <f>IFERROR(VLOOKUP(E36,Dados!$K$5:$L$15,2,FALSE),"")</f>
        <v>25</v>
      </c>
      <c r="K36" s="18" t="str">
        <f t="shared" si="0"/>
        <v>S</v>
      </c>
      <c r="L36" s="20" t="s">
        <v>27</v>
      </c>
      <c r="M36" s="20" t="str">
        <f t="shared" si="1"/>
        <v>Ago</v>
      </c>
      <c r="N36" s="17">
        <v>42951</v>
      </c>
      <c r="O36" s="18" t="str">
        <f t="shared" ca="1" si="2"/>
        <v>Recebido</v>
      </c>
    </row>
    <row r="37" spans="3:15" ht="15.75" thickBot="1" x14ac:dyDescent="0.3">
      <c r="C37" s="17">
        <v>43057</v>
      </c>
      <c r="D37" s="18">
        <v>70</v>
      </c>
      <c r="E37" s="18" t="s">
        <v>39</v>
      </c>
      <c r="F37" s="18" t="s">
        <v>34</v>
      </c>
      <c r="G37" s="18" t="s">
        <v>133</v>
      </c>
      <c r="H37" s="21" t="s">
        <v>5</v>
      </c>
      <c r="I37" s="18" t="s">
        <v>139</v>
      </c>
      <c r="J37" s="19">
        <f>IFERROR(VLOOKUP(E37,Dados!$K$5:$L$15,2,FALSE),"")</f>
        <v>40</v>
      </c>
      <c r="K37" s="18" t="str">
        <f t="shared" si="0"/>
        <v>S</v>
      </c>
      <c r="L37" s="20" t="s">
        <v>28</v>
      </c>
      <c r="M37" s="20" t="str">
        <f t="shared" si="1"/>
        <v>Nov</v>
      </c>
      <c r="N37" s="17">
        <v>43057</v>
      </c>
      <c r="O37" s="18" t="str">
        <f t="shared" ca="1" si="2"/>
        <v>Recebido</v>
      </c>
    </row>
    <row r="38" spans="3:15" ht="15.75" thickBot="1" x14ac:dyDescent="0.3">
      <c r="C38" s="17">
        <v>42779</v>
      </c>
      <c r="D38" s="18">
        <v>77</v>
      </c>
      <c r="E38" s="20" t="s">
        <v>37</v>
      </c>
      <c r="F38" s="18" t="s">
        <v>35</v>
      </c>
      <c r="G38" s="18" t="s">
        <v>134</v>
      </c>
      <c r="H38" s="21" t="s">
        <v>6</v>
      </c>
      <c r="I38" s="18" t="s">
        <v>139</v>
      </c>
      <c r="J38" s="19">
        <f>IFERROR(VLOOKUP(E38,Dados!$K$5:$L$15,2,FALSE),"")</f>
        <v>20</v>
      </c>
      <c r="K38" s="18" t="str">
        <f t="shared" si="0"/>
        <v>N</v>
      </c>
      <c r="L38" s="18" t="s">
        <v>29</v>
      </c>
      <c r="M38" s="20" t="str">
        <f t="shared" si="1"/>
        <v/>
      </c>
      <c r="N38" s="17"/>
      <c r="O38" s="18" t="str">
        <f t="shared" ca="1" si="2"/>
        <v>Vencido</v>
      </c>
    </row>
    <row r="39" spans="3:15" ht="15.75" thickBot="1" x14ac:dyDescent="0.3">
      <c r="C39" s="17">
        <v>43055</v>
      </c>
      <c r="D39" s="18">
        <v>56</v>
      </c>
      <c r="E39" s="18" t="s">
        <v>38</v>
      </c>
      <c r="F39" s="18" t="s">
        <v>36</v>
      </c>
      <c r="G39" s="18" t="s">
        <v>135</v>
      </c>
      <c r="H39" s="21" t="s">
        <v>7</v>
      </c>
      <c r="I39" s="18" t="s">
        <v>138</v>
      </c>
      <c r="J39" s="19">
        <f>IFERROR(VLOOKUP(E39,Dados!$K$5:$L$15,2,FALSE),"")</f>
        <v>25</v>
      </c>
      <c r="K39" s="18" t="str">
        <f t="shared" si="0"/>
        <v>S</v>
      </c>
      <c r="L39" s="18" t="s">
        <v>30</v>
      </c>
      <c r="M39" s="20" t="str">
        <f t="shared" si="1"/>
        <v>Nov</v>
      </c>
      <c r="N39" s="17">
        <v>43055</v>
      </c>
      <c r="O39" s="18" t="str">
        <f t="shared" ca="1" si="2"/>
        <v>Recebido</v>
      </c>
    </row>
    <row r="40" spans="3:15" ht="15.75" thickBot="1" x14ac:dyDescent="0.3">
      <c r="C40" s="17">
        <v>42870</v>
      </c>
      <c r="D40" s="18">
        <v>37</v>
      </c>
      <c r="E40" s="18" t="s">
        <v>39</v>
      </c>
      <c r="F40" s="18" t="s">
        <v>36</v>
      </c>
      <c r="G40" s="18" t="s">
        <v>136</v>
      </c>
      <c r="H40" s="21" t="s">
        <v>8</v>
      </c>
      <c r="I40" s="18" t="s">
        <v>138</v>
      </c>
      <c r="J40" s="19">
        <f>IFERROR(VLOOKUP(E40,Dados!$K$5:$L$15,2,FALSE),"")</f>
        <v>40</v>
      </c>
      <c r="K40" s="18" t="str">
        <f t="shared" si="0"/>
        <v>S</v>
      </c>
      <c r="L40" s="18" t="s">
        <v>31</v>
      </c>
      <c r="M40" s="20" t="str">
        <f t="shared" si="1"/>
        <v>Mai</v>
      </c>
      <c r="N40" s="17">
        <v>42870</v>
      </c>
      <c r="O40" s="18" t="str">
        <f t="shared" ca="1" si="2"/>
        <v>Recebido</v>
      </c>
    </row>
  </sheetData>
  <autoFilter ref="C4:O40"/>
  <mergeCells count="2">
    <mergeCell ref="A1:A4"/>
    <mergeCell ref="C2:O2"/>
  </mergeCells>
  <conditionalFormatting sqref="O5:O40">
    <cfRule type="containsText" dxfId="5" priority="1" operator="containsText" text="Próximo">
      <formula>NOT(ISERROR(SEARCH("Próximo",O5)))</formula>
    </cfRule>
    <cfRule type="cellIs" dxfId="4" priority="2" operator="equal">
      <formula>"Vencido"</formula>
    </cfRule>
    <cfRule type="cellIs" dxfId="3" priority="3" operator="equal">
      <formula>"Recebido"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Dados!$K$5:$K$15</xm:f>
          </x14:formula1>
          <xm:sqref>E5:E40</xm:sqref>
        </x14:dataValidation>
        <x14:dataValidation type="list" allowBlank="1" showInputMessage="1" showErrorMessage="1">
          <x14:formula1>
            <xm:f>Dados!$I$5:$I$9</xm:f>
          </x14:formula1>
          <xm:sqref>F5:F40</xm:sqref>
        </x14:dataValidation>
        <x14:dataValidation type="list" allowBlank="1" showInputMessage="1" showErrorMessage="1">
          <x14:formula1>
            <xm:f>Dados!$C$5:$C$10</xm:f>
          </x14:formula1>
          <xm:sqref>H5:H40</xm:sqref>
        </x14:dataValidation>
        <x14:dataValidation type="list" allowBlank="1" showInputMessage="1" showErrorMessage="1">
          <x14:formula1>
            <xm:f>Dados!$G$5:$G$9</xm:f>
          </x14:formula1>
          <xm:sqref>L5:L40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1:N40"/>
  <sheetViews>
    <sheetView showGridLines="0" workbookViewId="0">
      <pane xSplit="1" ySplit="4" topLeftCell="I5" activePane="bottomRight" state="frozen"/>
      <selection pane="topRight" activeCell="B1" sqref="B1"/>
      <selection pane="bottomLeft" activeCell="A5" sqref="A5"/>
      <selection pane="bottomRight" activeCell="L43" sqref="L43"/>
    </sheetView>
  </sheetViews>
  <sheetFormatPr defaultRowHeight="15" x14ac:dyDescent="0.25"/>
  <cols>
    <col min="1" max="1" width="25.7109375" customWidth="1"/>
    <col min="2" max="2" width="1.7109375" customWidth="1"/>
    <col min="3" max="3" width="12.85546875" bestFit="1" customWidth="1"/>
    <col min="4" max="4" width="12.5703125" bestFit="1" customWidth="1"/>
    <col min="5" max="5" width="16.42578125" bestFit="1" customWidth="1"/>
    <col min="6" max="6" width="19.7109375" bestFit="1" customWidth="1"/>
    <col min="7" max="7" width="17.85546875" bestFit="1" customWidth="1"/>
    <col min="8" max="8" width="29.42578125" bestFit="1" customWidth="1"/>
    <col min="9" max="9" width="11.7109375" bestFit="1" customWidth="1"/>
    <col min="10" max="10" width="10.7109375" bestFit="1" customWidth="1"/>
    <col min="11" max="11" width="13.5703125" bestFit="1" customWidth="1"/>
    <col min="12" max="12" width="13.5703125" customWidth="1"/>
    <col min="13" max="13" width="17.7109375" bestFit="1" customWidth="1"/>
    <col min="14" max="14" width="28.5703125" bestFit="1" customWidth="1"/>
  </cols>
  <sheetData>
    <row r="1" spans="3:14" ht="9.9499999999999993" customHeight="1" x14ac:dyDescent="0.25"/>
    <row r="2" spans="3:14" x14ac:dyDescent="0.25">
      <c r="C2" s="32" t="s">
        <v>67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</row>
    <row r="3" spans="3:14" ht="9.9499999999999993" customHeight="1" x14ac:dyDescent="0.25"/>
    <row r="4" spans="3:14" ht="15.75" thickBot="1" x14ac:dyDescent="0.3">
      <c r="C4" s="14" t="s">
        <v>50</v>
      </c>
      <c r="D4" s="2" t="s">
        <v>51</v>
      </c>
      <c r="E4" s="2" t="s">
        <v>25</v>
      </c>
      <c r="F4" s="2" t="s">
        <v>68</v>
      </c>
      <c r="G4" s="2" t="s">
        <v>54</v>
      </c>
      <c r="H4" s="2" t="s">
        <v>69</v>
      </c>
      <c r="I4" s="2" t="s">
        <v>56</v>
      </c>
      <c r="J4" s="2" t="s">
        <v>70</v>
      </c>
      <c r="K4" s="2" t="s">
        <v>24</v>
      </c>
      <c r="L4" s="2" t="s">
        <v>71</v>
      </c>
      <c r="M4" s="2" t="s">
        <v>72</v>
      </c>
      <c r="N4" s="15" t="s">
        <v>59</v>
      </c>
    </row>
    <row r="5" spans="3:14" ht="15.75" thickBot="1" x14ac:dyDescent="0.3">
      <c r="C5" s="17">
        <v>42736</v>
      </c>
      <c r="D5" s="18" t="s">
        <v>73</v>
      </c>
      <c r="E5" s="18" t="s">
        <v>32</v>
      </c>
      <c r="F5" s="18" t="s">
        <v>74</v>
      </c>
      <c r="G5" s="18" t="s">
        <v>9</v>
      </c>
      <c r="H5" s="18" t="s">
        <v>75</v>
      </c>
      <c r="I5" s="19">
        <v>1179</v>
      </c>
      <c r="J5" s="18" t="s">
        <v>76</v>
      </c>
      <c r="K5" s="20" t="s">
        <v>27</v>
      </c>
      <c r="L5" s="18" t="str">
        <f>IF(ISBLANK(M5)=TRUE,"",UPPER(TEXT(M5,"MMM")))</f>
        <v>JAN</v>
      </c>
      <c r="M5" s="17">
        <v>42736</v>
      </c>
      <c r="N5" s="17" t="str">
        <f ca="1">IF(ISBLANK(C5)=TRUE,"",IF(J5&lt;&gt;"S",IF(C5-TODAY()&lt;0,"Vencido",IF(C5-TODAY()&lt;7,"Proximo do Vencimento, faltam "&amp;C5-TODAY()&amp;" Dias","A Pagar")),"Pagamento Realizado"))</f>
        <v>Pagamento Realizado</v>
      </c>
    </row>
    <row r="6" spans="3:14" ht="15.75" thickBot="1" x14ac:dyDescent="0.3">
      <c r="C6" s="17">
        <v>42748</v>
      </c>
      <c r="D6" s="18" t="s">
        <v>77</v>
      </c>
      <c r="E6" s="18" t="s">
        <v>33</v>
      </c>
      <c r="F6" s="18" t="s">
        <v>132</v>
      </c>
      <c r="G6" s="18" t="s">
        <v>10</v>
      </c>
      <c r="H6" s="18" t="s">
        <v>78</v>
      </c>
      <c r="I6" s="19">
        <v>571</v>
      </c>
      <c r="J6" s="18" t="s">
        <v>76</v>
      </c>
      <c r="K6" s="20" t="s">
        <v>27</v>
      </c>
      <c r="L6" s="18" t="str">
        <f t="shared" ref="L6:L40" si="0">IF(ISBLANK(M6)=TRUE,"",UPPER(TEXT(M6,"MMM")))</f>
        <v>JAN</v>
      </c>
      <c r="M6" s="17">
        <v>42748</v>
      </c>
      <c r="N6" s="17" t="str">
        <f t="shared" ref="N6:N40" ca="1" si="1">IF(ISBLANK(C6)=TRUE,"",IF(J6&lt;&gt;"S",IF(C6-TODAY()&lt;0,"Vencido",IF(C6-TODAY()&lt;7,"Proximo do Vencimento, faltam "&amp;C6-TODAY()&amp;" Dias","A Pagar")),"Pagamento Realizado"))</f>
        <v>Pagamento Realizado</v>
      </c>
    </row>
    <row r="7" spans="3:14" ht="15.75" thickBot="1" x14ac:dyDescent="0.3">
      <c r="C7" s="17">
        <v>42747</v>
      </c>
      <c r="D7" s="18" t="s">
        <v>79</v>
      </c>
      <c r="E7" s="18" t="s">
        <v>32</v>
      </c>
      <c r="F7" s="18" t="s">
        <v>133</v>
      </c>
      <c r="G7" s="18" t="s">
        <v>11</v>
      </c>
      <c r="H7" s="18" t="s">
        <v>80</v>
      </c>
      <c r="I7" s="19">
        <v>780</v>
      </c>
      <c r="J7" s="18" t="s">
        <v>76</v>
      </c>
      <c r="K7" s="20" t="s">
        <v>28</v>
      </c>
      <c r="L7" s="18" t="str">
        <f t="shared" si="0"/>
        <v>JAN</v>
      </c>
      <c r="M7" s="17">
        <v>42747</v>
      </c>
      <c r="N7" s="17" t="str">
        <f t="shared" ca="1" si="1"/>
        <v>Pagamento Realizado</v>
      </c>
    </row>
    <row r="8" spans="3:14" ht="15.75" thickBot="1" x14ac:dyDescent="0.3">
      <c r="C8" s="17">
        <v>42781</v>
      </c>
      <c r="D8" s="18" t="s">
        <v>73</v>
      </c>
      <c r="E8" s="18" t="s">
        <v>33</v>
      </c>
      <c r="F8" s="18" t="s">
        <v>134</v>
      </c>
      <c r="G8" s="18" t="s">
        <v>12</v>
      </c>
      <c r="H8" s="18" t="s">
        <v>81</v>
      </c>
      <c r="I8" s="19">
        <v>709</v>
      </c>
      <c r="J8" s="18" t="s">
        <v>76</v>
      </c>
      <c r="K8" s="18" t="s">
        <v>29</v>
      </c>
      <c r="L8" s="18" t="str">
        <f t="shared" si="0"/>
        <v>FEV</v>
      </c>
      <c r="M8" s="17">
        <v>42781</v>
      </c>
      <c r="N8" s="17" t="str">
        <f t="shared" ca="1" si="1"/>
        <v>Pagamento Realizado</v>
      </c>
    </row>
    <row r="9" spans="3:14" ht="15.75" thickBot="1" x14ac:dyDescent="0.3">
      <c r="C9" s="17">
        <v>42767</v>
      </c>
      <c r="D9" s="18" t="s">
        <v>82</v>
      </c>
      <c r="E9" s="18" t="s">
        <v>32</v>
      </c>
      <c r="F9" s="18" t="s">
        <v>135</v>
      </c>
      <c r="G9" s="18" t="s">
        <v>13</v>
      </c>
      <c r="H9" s="18" t="s">
        <v>83</v>
      </c>
      <c r="I9" s="19">
        <v>746</v>
      </c>
      <c r="J9" s="18" t="s">
        <v>76</v>
      </c>
      <c r="K9" s="20" t="s">
        <v>27</v>
      </c>
      <c r="L9" s="18" t="str">
        <f t="shared" si="0"/>
        <v>FEV</v>
      </c>
      <c r="M9" s="17">
        <v>42767</v>
      </c>
      <c r="N9" s="17" t="str">
        <f t="shared" ca="1" si="1"/>
        <v>Pagamento Realizado</v>
      </c>
    </row>
    <row r="10" spans="3:14" ht="15.75" thickBot="1" x14ac:dyDescent="0.3">
      <c r="C10" s="17">
        <v>42779</v>
      </c>
      <c r="D10" s="18" t="s">
        <v>84</v>
      </c>
      <c r="E10" s="18" t="s">
        <v>33</v>
      </c>
      <c r="F10" s="18" t="s">
        <v>136</v>
      </c>
      <c r="G10" s="18" t="s">
        <v>9</v>
      </c>
      <c r="H10" s="18" t="s">
        <v>75</v>
      </c>
      <c r="I10" s="19">
        <v>598</v>
      </c>
      <c r="J10" s="18" t="s">
        <v>76</v>
      </c>
      <c r="K10" s="20" t="s">
        <v>28</v>
      </c>
      <c r="L10" s="18" t="str">
        <f t="shared" si="0"/>
        <v>FEV</v>
      </c>
      <c r="M10" s="17">
        <v>42779</v>
      </c>
      <c r="N10" s="17" t="str">
        <f t="shared" ca="1" si="1"/>
        <v>Pagamento Realizado</v>
      </c>
    </row>
    <row r="11" spans="3:14" ht="15.75" thickBot="1" x14ac:dyDescent="0.3">
      <c r="C11" s="17">
        <v>42778</v>
      </c>
      <c r="D11" s="18" t="s">
        <v>85</v>
      </c>
      <c r="E11" s="18" t="s">
        <v>32</v>
      </c>
      <c r="F11" s="18" t="s">
        <v>74</v>
      </c>
      <c r="G11" s="18" t="s">
        <v>10</v>
      </c>
      <c r="H11" s="18" t="s">
        <v>78</v>
      </c>
      <c r="I11" s="19">
        <v>1209</v>
      </c>
      <c r="J11" s="18" t="s">
        <v>76</v>
      </c>
      <c r="K11" s="18" t="s">
        <v>29</v>
      </c>
      <c r="L11" s="18" t="str">
        <f t="shared" si="0"/>
        <v>FEV</v>
      </c>
      <c r="M11" s="17">
        <v>42778</v>
      </c>
      <c r="N11" s="17" t="str">
        <f t="shared" ca="1" si="1"/>
        <v>Pagamento Realizado</v>
      </c>
    </row>
    <row r="12" spans="3:14" ht="15.75" thickBot="1" x14ac:dyDescent="0.3">
      <c r="C12" s="17">
        <v>42809</v>
      </c>
      <c r="D12" s="18" t="s">
        <v>86</v>
      </c>
      <c r="E12" s="18" t="s">
        <v>33</v>
      </c>
      <c r="F12" s="18" t="s">
        <v>132</v>
      </c>
      <c r="G12" s="18" t="s">
        <v>11</v>
      </c>
      <c r="H12" s="18" t="s">
        <v>80</v>
      </c>
      <c r="I12" s="19">
        <v>1071</v>
      </c>
      <c r="J12" s="18" t="s">
        <v>76</v>
      </c>
      <c r="K12" s="20" t="s">
        <v>27</v>
      </c>
      <c r="L12" s="18" t="str">
        <f t="shared" si="0"/>
        <v>MAR</v>
      </c>
      <c r="M12" s="17">
        <v>42809</v>
      </c>
      <c r="N12" s="17" t="str">
        <f t="shared" ca="1" si="1"/>
        <v>Pagamento Realizado</v>
      </c>
    </row>
    <row r="13" spans="3:14" ht="15.75" thickBot="1" x14ac:dyDescent="0.3">
      <c r="C13" s="17">
        <v>42826</v>
      </c>
      <c r="D13" s="18" t="s">
        <v>88</v>
      </c>
      <c r="E13" s="18" t="s">
        <v>34</v>
      </c>
      <c r="F13" s="18" t="s">
        <v>133</v>
      </c>
      <c r="G13" s="18" t="s">
        <v>12</v>
      </c>
      <c r="H13" s="18" t="s">
        <v>81</v>
      </c>
      <c r="I13" s="19">
        <v>688</v>
      </c>
      <c r="J13" s="18" t="s">
        <v>76</v>
      </c>
      <c r="K13" s="20" t="s">
        <v>28</v>
      </c>
      <c r="L13" s="18" t="str">
        <f t="shared" si="0"/>
        <v>ABR</v>
      </c>
      <c r="M13" s="17">
        <v>42826</v>
      </c>
      <c r="N13" s="17" t="str">
        <f t="shared" ca="1" si="1"/>
        <v>Pagamento Realizado</v>
      </c>
    </row>
    <row r="14" spans="3:14" ht="15.75" thickBot="1" x14ac:dyDescent="0.3">
      <c r="C14" s="17">
        <v>42807</v>
      </c>
      <c r="D14" s="18" t="s">
        <v>89</v>
      </c>
      <c r="E14" s="18" t="s">
        <v>32</v>
      </c>
      <c r="F14" s="18" t="s">
        <v>74</v>
      </c>
      <c r="G14" s="18" t="s">
        <v>9</v>
      </c>
      <c r="H14" s="18" t="s">
        <v>75</v>
      </c>
      <c r="I14" s="19">
        <v>726</v>
      </c>
      <c r="J14" s="18" t="s">
        <v>76</v>
      </c>
      <c r="K14" s="18" t="s">
        <v>29</v>
      </c>
      <c r="L14" s="18" t="str">
        <f t="shared" si="0"/>
        <v>MAR</v>
      </c>
      <c r="M14" s="17">
        <v>42807</v>
      </c>
      <c r="N14" s="17" t="str">
        <f t="shared" ca="1" si="1"/>
        <v>Pagamento Realizado</v>
      </c>
    </row>
    <row r="15" spans="3:14" ht="15.75" thickBot="1" x14ac:dyDescent="0.3">
      <c r="C15" s="17">
        <v>42806</v>
      </c>
      <c r="D15" s="18" t="s">
        <v>90</v>
      </c>
      <c r="E15" s="18" t="s">
        <v>33</v>
      </c>
      <c r="F15" s="18" t="s">
        <v>132</v>
      </c>
      <c r="G15" s="18" t="s">
        <v>10</v>
      </c>
      <c r="H15" s="18" t="s">
        <v>78</v>
      </c>
      <c r="I15" s="19">
        <v>1149</v>
      </c>
      <c r="J15" s="18" t="s">
        <v>76</v>
      </c>
      <c r="K15" s="18" t="s">
        <v>30</v>
      </c>
      <c r="L15" s="18" t="str">
        <f t="shared" si="0"/>
        <v>MAR</v>
      </c>
      <c r="M15" s="17">
        <v>42806</v>
      </c>
      <c r="N15" s="17" t="str">
        <f t="shared" ca="1" si="1"/>
        <v>Pagamento Realizado</v>
      </c>
    </row>
    <row r="16" spans="3:14" ht="15.75" thickBot="1" x14ac:dyDescent="0.3">
      <c r="C16" s="17">
        <v>42870</v>
      </c>
      <c r="D16" s="18" t="s">
        <v>91</v>
      </c>
      <c r="E16" s="18" t="s">
        <v>34</v>
      </c>
      <c r="F16" s="18" t="s">
        <v>74</v>
      </c>
      <c r="G16" s="18" t="s">
        <v>11</v>
      </c>
      <c r="H16" s="18" t="s">
        <v>80</v>
      </c>
      <c r="I16" s="19">
        <v>577</v>
      </c>
      <c r="J16" s="18" t="s">
        <v>76</v>
      </c>
      <c r="K16" s="20" t="s">
        <v>27</v>
      </c>
      <c r="L16" s="18" t="str">
        <f t="shared" si="0"/>
        <v>MAI</v>
      </c>
      <c r="M16" s="17">
        <v>42870</v>
      </c>
      <c r="N16" s="17" t="str">
        <f t="shared" ca="1" si="1"/>
        <v>Pagamento Realizado</v>
      </c>
    </row>
    <row r="17" spans="3:14" ht="15.75" thickBot="1" x14ac:dyDescent="0.3">
      <c r="C17" s="17">
        <v>42887</v>
      </c>
      <c r="D17" s="18" t="s">
        <v>92</v>
      </c>
      <c r="E17" s="18" t="s">
        <v>32</v>
      </c>
      <c r="F17" s="18" t="s">
        <v>74</v>
      </c>
      <c r="G17" s="18" t="s">
        <v>12</v>
      </c>
      <c r="H17" s="18" t="s">
        <v>81</v>
      </c>
      <c r="I17" s="19">
        <v>746</v>
      </c>
      <c r="J17" s="18" t="s">
        <v>76</v>
      </c>
      <c r="K17" s="20" t="s">
        <v>28</v>
      </c>
      <c r="L17" s="18" t="str">
        <f t="shared" si="0"/>
        <v>JUN</v>
      </c>
      <c r="M17" s="17">
        <v>42887</v>
      </c>
      <c r="N17" s="17" t="str">
        <f t="shared" ca="1" si="1"/>
        <v>Pagamento Realizado</v>
      </c>
    </row>
    <row r="18" spans="3:14" ht="15.75" thickBot="1" x14ac:dyDescent="0.3">
      <c r="C18" s="17">
        <v>42868</v>
      </c>
      <c r="D18" s="18" t="s">
        <v>93</v>
      </c>
      <c r="E18" s="18" t="s">
        <v>32</v>
      </c>
      <c r="F18" s="18" t="s">
        <v>74</v>
      </c>
      <c r="G18" s="18" t="s">
        <v>13</v>
      </c>
      <c r="H18" s="18" t="s">
        <v>83</v>
      </c>
      <c r="I18" s="19">
        <v>1091</v>
      </c>
      <c r="J18" s="18" t="s">
        <v>76</v>
      </c>
      <c r="K18" s="18" t="s">
        <v>29</v>
      </c>
      <c r="L18" s="18" t="str">
        <f t="shared" si="0"/>
        <v/>
      </c>
      <c r="M18" s="17"/>
      <c r="N18" s="17" t="str">
        <f t="shared" ca="1" si="1"/>
        <v>Pagamento Realizado</v>
      </c>
    </row>
    <row r="19" spans="3:14" ht="15.75" thickBot="1" x14ac:dyDescent="0.3">
      <c r="C19" s="17">
        <v>42959</v>
      </c>
      <c r="D19" s="18" t="s">
        <v>91</v>
      </c>
      <c r="E19" s="18" t="s">
        <v>33</v>
      </c>
      <c r="F19" s="18" t="s">
        <v>132</v>
      </c>
      <c r="G19" s="18" t="s">
        <v>14</v>
      </c>
      <c r="H19" s="18" t="s">
        <v>94</v>
      </c>
      <c r="I19" s="19">
        <v>1183</v>
      </c>
      <c r="J19" s="18"/>
      <c r="K19" s="18" t="s">
        <v>30</v>
      </c>
      <c r="L19" s="18" t="str">
        <f t="shared" si="0"/>
        <v/>
      </c>
      <c r="M19" s="17"/>
      <c r="N19" s="17" t="str">
        <f t="shared" ca="1" si="1"/>
        <v>A Pagar</v>
      </c>
    </row>
    <row r="20" spans="3:14" ht="15.75" thickBot="1" x14ac:dyDescent="0.3">
      <c r="C20" s="17">
        <v>42931</v>
      </c>
      <c r="D20" s="18" t="s">
        <v>73</v>
      </c>
      <c r="E20" s="18" t="s">
        <v>32</v>
      </c>
      <c r="F20" s="18" t="s">
        <v>133</v>
      </c>
      <c r="G20" s="18" t="s">
        <v>9</v>
      </c>
      <c r="H20" s="18" t="s">
        <v>75</v>
      </c>
      <c r="I20" s="19">
        <v>707</v>
      </c>
      <c r="J20" s="18"/>
      <c r="K20" s="20" t="s">
        <v>27</v>
      </c>
      <c r="L20" s="18" t="str">
        <f t="shared" si="0"/>
        <v/>
      </c>
      <c r="M20" s="17"/>
      <c r="N20" s="17" t="str">
        <f t="shared" ca="1" si="1"/>
        <v>Vencido</v>
      </c>
    </row>
    <row r="21" spans="3:14" ht="15.75" thickBot="1" x14ac:dyDescent="0.3">
      <c r="C21" s="17">
        <v>42948</v>
      </c>
      <c r="D21" s="18" t="s">
        <v>90</v>
      </c>
      <c r="E21" s="18" t="s">
        <v>33</v>
      </c>
      <c r="F21" s="18" t="s">
        <v>134</v>
      </c>
      <c r="G21" s="18" t="s">
        <v>10</v>
      </c>
      <c r="H21" s="18" t="s">
        <v>78</v>
      </c>
      <c r="I21" s="19">
        <v>973</v>
      </c>
      <c r="J21" s="18"/>
      <c r="K21" s="20" t="s">
        <v>28</v>
      </c>
      <c r="L21" s="18" t="str">
        <f t="shared" si="0"/>
        <v/>
      </c>
      <c r="M21" s="17"/>
      <c r="N21" s="17" t="str">
        <f t="shared" ca="1" si="1"/>
        <v>A Pagar</v>
      </c>
    </row>
    <row r="22" spans="3:14" ht="15.75" thickBot="1" x14ac:dyDescent="0.3">
      <c r="C22" s="17">
        <v>42868</v>
      </c>
      <c r="D22" s="18" t="s">
        <v>95</v>
      </c>
      <c r="E22" s="18" t="s">
        <v>34</v>
      </c>
      <c r="F22" s="18" t="s">
        <v>135</v>
      </c>
      <c r="G22" s="18" t="s">
        <v>11</v>
      </c>
      <c r="H22" s="18" t="s">
        <v>80</v>
      </c>
      <c r="I22" s="19">
        <v>994</v>
      </c>
      <c r="J22" s="18"/>
      <c r="K22" s="18" t="s">
        <v>29</v>
      </c>
      <c r="L22" s="18" t="str">
        <f t="shared" si="0"/>
        <v/>
      </c>
      <c r="M22" s="17"/>
      <c r="N22" s="17" t="str">
        <f t="shared" ca="1" si="1"/>
        <v>Vencido</v>
      </c>
    </row>
    <row r="23" spans="3:14" ht="15.75" thickBot="1" x14ac:dyDescent="0.3">
      <c r="C23" s="17">
        <v>42990</v>
      </c>
      <c r="D23" s="18" t="s">
        <v>85</v>
      </c>
      <c r="E23" s="18" t="s">
        <v>32</v>
      </c>
      <c r="F23" s="18" t="s">
        <v>136</v>
      </c>
      <c r="G23" s="18" t="s">
        <v>12</v>
      </c>
      <c r="H23" s="18" t="s">
        <v>81</v>
      </c>
      <c r="I23" s="19">
        <v>1196</v>
      </c>
      <c r="J23" s="18"/>
      <c r="K23" s="18" t="s">
        <v>30</v>
      </c>
      <c r="L23" s="18" t="str">
        <f t="shared" si="0"/>
        <v/>
      </c>
      <c r="M23" s="17"/>
      <c r="N23" s="17" t="str">
        <f t="shared" ca="1" si="1"/>
        <v>A Pagar</v>
      </c>
    </row>
    <row r="24" spans="3:14" ht="15.75" thickBot="1" x14ac:dyDescent="0.3">
      <c r="C24" s="17">
        <v>43023</v>
      </c>
      <c r="D24" s="18" t="s">
        <v>85</v>
      </c>
      <c r="E24" s="18" t="s">
        <v>33</v>
      </c>
      <c r="F24" s="18" t="s">
        <v>74</v>
      </c>
      <c r="G24" s="18" t="s">
        <v>13</v>
      </c>
      <c r="H24" s="18" t="s">
        <v>83</v>
      </c>
      <c r="I24" s="19">
        <v>1136</v>
      </c>
      <c r="J24" s="18"/>
      <c r="K24" s="20" t="s">
        <v>27</v>
      </c>
      <c r="L24" s="18" t="str">
        <f t="shared" si="0"/>
        <v/>
      </c>
      <c r="M24" s="17"/>
      <c r="N24" s="17" t="str">
        <f t="shared" ca="1" si="1"/>
        <v>A Pagar</v>
      </c>
    </row>
    <row r="25" spans="3:14" ht="15.75" thickBot="1" x14ac:dyDescent="0.3">
      <c r="C25" s="17">
        <v>43009</v>
      </c>
      <c r="D25" s="18" t="s">
        <v>96</v>
      </c>
      <c r="E25" s="18" t="s">
        <v>34</v>
      </c>
      <c r="F25" s="18" t="s">
        <v>132</v>
      </c>
      <c r="G25" s="18" t="s">
        <v>9</v>
      </c>
      <c r="H25" s="18" t="s">
        <v>75</v>
      </c>
      <c r="I25" s="19">
        <v>781</v>
      </c>
      <c r="J25" s="18"/>
      <c r="K25" s="20" t="s">
        <v>28</v>
      </c>
      <c r="L25" s="18" t="str">
        <f t="shared" si="0"/>
        <v/>
      </c>
      <c r="M25" s="17"/>
      <c r="N25" s="17" t="str">
        <f t="shared" ca="1" si="1"/>
        <v>A Pagar</v>
      </c>
    </row>
    <row r="26" spans="3:14" ht="15.75" thickBot="1" x14ac:dyDescent="0.3">
      <c r="C26" s="17">
        <v>42778</v>
      </c>
      <c r="D26" s="18" t="s">
        <v>85</v>
      </c>
      <c r="E26" s="18" t="s">
        <v>32</v>
      </c>
      <c r="F26" s="18" t="s">
        <v>133</v>
      </c>
      <c r="G26" s="18" t="s">
        <v>10</v>
      </c>
      <c r="H26" s="18" t="s">
        <v>78</v>
      </c>
      <c r="I26" s="19">
        <v>1135</v>
      </c>
      <c r="J26" s="18" t="s">
        <v>76</v>
      </c>
      <c r="K26" s="18" t="s">
        <v>29</v>
      </c>
      <c r="L26" s="18" t="str">
        <f t="shared" si="0"/>
        <v>JUN</v>
      </c>
      <c r="M26" s="17">
        <v>42897</v>
      </c>
      <c r="N26" s="17" t="str">
        <f t="shared" ca="1" si="1"/>
        <v>Pagamento Realizado</v>
      </c>
    </row>
    <row r="27" spans="3:14" ht="15.75" thickBot="1" x14ac:dyDescent="0.3">
      <c r="C27" s="17">
        <v>42809</v>
      </c>
      <c r="D27" s="18" t="s">
        <v>86</v>
      </c>
      <c r="E27" s="18" t="s">
        <v>33</v>
      </c>
      <c r="F27" s="18" t="s">
        <v>134</v>
      </c>
      <c r="G27" s="18" t="s">
        <v>11</v>
      </c>
      <c r="H27" s="18" t="s">
        <v>80</v>
      </c>
      <c r="I27" s="19">
        <v>570</v>
      </c>
      <c r="J27" s="18" t="s">
        <v>76</v>
      </c>
      <c r="K27" s="18" t="s">
        <v>30</v>
      </c>
      <c r="L27" s="18" t="str">
        <f t="shared" si="0"/>
        <v>JUL</v>
      </c>
      <c r="M27" s="17">
        <v>42926</v>
      </c>
      <c r="N27" s="17" t="str">
        <f t="shared" ca="1" si="1"/>
        <v>Pagamento Realizado</v>
      </c>
    </row>
    <row r="28" spans="3:14" ht="15.75" thickBot="1" x14ac:dyDescent="0.3">
      <c r="C28" s="17">
        <v>42826</v>
      </c>
      <c r="D28" s="18" t="s">
        <v>88</v>
      </c>
      <c r="E28" s="18" t="s">
        <v>34</v>
      </c>
      <c r="F28" s="18" t="s">
        <v>135</v>
      </c>
      <c r="G28" s="18" t="s">
        <v>12</v>
      </c>
      <c r="H28" s="18" t="s">
        <v>81</v>
      </c>
      <c r="I28" s="19">
        <v>919</v>
      </c>
      <c r="J28" s="18" t="s">
        <v>76</v>
      </c>
      <c r="K28" s="18" t="s">
        <v>31</v>
      </c>
      <c r="L28" s="18" t="str">
        <f t="shared" si="0"/>
        <v>JUN</v>
      </c>
      <c r="M28" s="17">
        <v>42910</v>
      </c>
      <c r="N28" s="17" t="str">
        <f t="shared" ca="1" si="1"/>
        <v>Pagamento Realizado</v>
      </c>
    </row>
    <row r="29" spans="3:14" ht="15.75" thickBot="1" x14ac:dyDescent="0.3">
      <c r="C29" s="17">
        <v>42807</v>
      </c>
      <c r="D29" s="18" t="s">
        <v>89</v>
      </c>
      <c r="E29" s="18" t="s">
        <v>32</v>
      </c>
      <c r="F29" s="18" t="s">
        <v>74</v>
      </c>
      <c r="G29" s="18" t="s">
        <v>9</v>
      </c>
      <c r="H29" s="18" t="s">
        <v>75</v>
      </c>
      <c r="I29" s="19">
        <v>920</v>
      </c>
      <c r="J29" s="18" t="s">
        <v>76</v>
      </c>
      <c r="K29" s="18" t="s">
        <v>28</v>
      </c>
      <c r="L29" s="18" t="str">
        <f t="shared" si="0"/>
        <v>JUN</v>
      </c>
      <c r="M29" s="17">
        <v>42913</v>
      </c>
      <c r="N29" s="17" t="str">
        <f t="shared" ca="1" si="1"/>
        <v>Pagamento Realizado</v>
      </c>
    </row>
    <row r="30" spans="3:14" ht="15.75" thickBot="1" x14ac:dyDescent="0.3">
      <c r="C30" s="17">
        <v>42806</v>
      </c>
      <c r="D30" s="18" t="s">
        <v>90</v>
      </c>
      <c r="E30" s="18" t="s">
        <v>33</v>
      </c>
      <c r="F30" s="18" t="s">
        <v>132</v>
      </c>
      <c r="G30" s="18" t="s">
        <v>10</v>
      </c>
      <c r="H30" s="18" t="s">
        <v>78</v>
      </c>
      <c r="I30" s="19">
        <v>926</v>
      </c>
      <c r="J30" s="18" t="s">
        <v>76</v>
      </c>
      <c r="K30" s="18" t="s">
        <v>87</v>
      </c>
      <c r="L30" s="18" t="str">
        <f t="shared" si="0"/>
        <v>AGO</v>
      </c>
      <c r="M30" s="17">
        <v>42963</v>
      </c>
      <c r="N30" s="17" t="str">
        <f t="shared" ca="1" si="1"/>
        <v>Pagamento Realizado</v>
      </c>
    </row>
    <row r="31" spans="3:14" ht="15.75" thickBot="1" x14ac:dyDescent="0.3">
      <c r="C31" s="17">
        <v>42870</v>
      </c>
      <c r="D31" s="18" t="s">
        <v>91</v>
      </c>
      <c r="E31" s="18" t="s">
        <v>34</v>
      </c>
      <c r="F31" s="18" t="s">
        <v>133</v>
      </c>
      <c r="G31" s="18" t="s">
        <v>11</v>
      </c>
      <c r="H31" s="18" t="s">
        <v>80</v>
      </c>
      <c r="I31" s="19">
        <v>564</v>
      </c>
      <c r="J31" s="18" t="s">
        <v>76</v>
      </c>
      <c r="K31" s="18" t="s">
        <v>30</v>
      </c>
      <c r="L31" s="18" t="str">
        <f t="shared" si="0"/>
        <v>AGO</v>
      </c>
      <c r="M31" s="17">
        <v>42948</v>
      </c>
      <c r="N31" s="17" t="str">
        <f t="shared" ca="1" si="1"/>
        <v>Pagamento Realizado</v>
      </c>
    </row>
    <row r="32" spans="3:14" ht="15.75" thickBot="1" x14ac:dyDescent="0.3">
      <c r="C32" s="17">
        <v>42887</v>
      </c>
      <c r="D32" s="18" t="s">
        <v>92</v>
      </c>
      <c r="E32" s="18" t="s">
        <v>32</v>
      </c>
      <c r="F32" s="18" t="s">
        <v>134</v>
      </c>
      <c r="G32" s="18" t="s">
        <v>12</v>
      </c>
      <c r="H32" s="18" t="s">
        <v>81</v>
      </c>
      <c r="I32" s="19">
        <v>974</v>
      </c>
      <c r="J32" s="18" t="s">
        <v>76</v>
      </c>
      <c r="K32" s="18" t="s">
        <v>31</v>
      </c>
      <c r="L32" s="18" t="str">
        <f t="shared" si="0"/>
        <v>NOV</v>
      </c>
      <c r="M32" s="17">
        <v>43049</v>
      </c>
      <c r="N32" s="17" t="str">
        <f t="shared" ca="1" si="1"/>
        <v>Pagamento Realizado</v>
      </c>
    </row>
    <row r="33" spans="3:14" ht="15.75" thickBot="1" x14ac:dyDescent="0.3">
      <c r="C33" s="17">
        <v>42778</v>
      </c>
      <c r="D33" s="18" t="s">
        <v>85</v>
      </c>
      <c r="E33" s="18" t="s">
        <v>32</v>
      </c>
      <c r="F33" s="18" t="s">
        <v>135</v>
      </c>
      <c r="G33" s="18" t="s">
        <v>10</v>
      </c>
      <c r="H33" s="18" t="s">
        <v>78</v>
      </c>
      <c r="I33" s="19">
        <v>939</v>
      </c>
      <c r="J33" s="18" t="s">
        <v>76</v>
      </c>
      <c r="K33" s="18" t="s">
        <v>28</v>
      </c>
      <c r="L33" s="18" t="str">
        <f t="shared" si="0"/>
        <v>OUT</v>
      </c>
      <c r="M33" s="17">
        <v>43017</v>
      </c>
      <c r="N33" s="17" t="str">
        <f t="shared" ca="1" si="1"/>
        <v>Pagamento Realizado</v>
      </c>
    </row>
    <row r="34" spans="3:14" ht="15.75" thickBot="1" x14ac:dyDescent="0.3">
      <c r="C34" s="17">
        <v>42809</v>
      </c>
      <c r="D34" s="18" t="s">
        <v>86</v>
      </c>
      <c r="E34" s="18" t="s">
        <v>33</v>
      </c>
      <c r="F34" s="18" t="s">
        <v>136</v>
      </c>
      <c r="G34" s="18" t="s">
        <v>11</v>
      </c>
      <c r="H34" s="18" t="s">
        <v>80</v>
      </c>
      <c r="I34" s="19">
        <v>1208</v>
      </c>
      <c r="J34" s="18" t="s">
        <v>76</v>
      </c>
      <c r="K34" s="18" t="s">
        <v>87</v>
      </c>
      <c r="L34" s="18" t="str">
        <f t="shared" si="0"/>
        <v>NOV</v>
      </c>
      <c r="M34" s="17">
        <v>43042</v>
      </c>
      <c r="N34" s="17" t="str">
        <f t="shared" ca="1" si="1"/>
        <v>Pagamento Realizado</v>
      </c>
    </row>
    <row r="35" spans="3:14" ht="15.75" thickBot="1" x14ac:dyDescent="0.3">
      <c r="C35" s="17">
        <v>42826</v>
      </c>
      <c r="D35" s="18" t="s">
        <v>88</v>
      </c>
      <c r="E35" s="18" t="s">
        <v>34</v>
      </c>
      <c r="F35" s="18" t="s">
        <v>74</v>
      </c>
      <c r="G35" s="18" t="s">
        <v>12</v>
      </c>
      <c r="H35" s="18" t="s">
        <v>81</v>
      </c>
      <c r="I35" s="19">
        <v>671</v>
      </c>
      <c r="J35" s="18" t="s">
        <v>76</v>
      </c>
      <c r="K35" s="18" t="s">
        <v>27</v>
      </c>
      <c r="L35" s="18" t="str">
        <f t="shared" si="0"/>
        <v>JUL</v>
      </c>
      <c r="M35" s="17">
        <v>42926</v>
      </c>
      <c r="N35" s="17" t="str">
        <f t="shared" ca="1" si="1"/>
        <v>Pagamento Realizado</v>
      </c>
    </row>
    <row r="36" spans="3:14" ht="15.75" thickBot="1" x14ac:dyDescent="0.3">
      <c r="C36" s="17">
        <v>42807</v>
      </c>
      <c r="D36" s="18" t="s">
        <v>89</v>
      </c>
      <c r="E36" s="18" t="s">
        <v>32</v>
      </c>
      <c r="F36" s="18" t="s">
        <v>132</v>
      </c>
      <c r="G36" s="18" t="s">
        <v>9</v>
      </c>
      <c r="H36" s="18" t="s">
        <v>75</v>
      </c>
      <c r="I36" s="19">
        <v>565</v>
      </c>
      <c r="J36" s="18" t="s">
        <v>76</v>
      </c>
      <c r="K36" s="18" t="s">
        <v>28</v>
      </c>
      <c r="L36" s="18" t="str">
        <f t="shared" si="0"/>
        <v>AGO</v>
      </c>
      <c r="M36" s="17">
        <v>42974</v>
      </c>
      <c r="N36" s="17" t="str">
        <f t="shared" ca="1" si="1"/>
        <v>Pagamento Realizado</v>
      </c>
    </row>
    <row r="37" spans="3:14" ht="15.75" thickBot="1" x14ac:dyDescent="0.3">
      <c r="C37" s="17">
        <v>42806</v>
      </c>
      <c r="D37" s="18" t="s">
        <v>90</v>
      </c>
      <c r="E37" s="18" t="s">
        <v>33</v>
      </c>
      <c r="F37" s="18" t="s">
        <v>133</v>
      </c>
      <c r="G37" s="18" t="s">
        <v>10</v>
      </c>
      <c r="H37" s="18" t="s">
        <v>78</v>
      </c>
      <c r="I37" s="19">
        <v>645</v>
      </c>
      <c r="J37" s="18" t="s">
        <v>76</v>
      </c>
      <c r="K37" s="18" t="s">
        <v>87</v>
      </c>
      <c r="L37" s="18" t="str">
        <f t="shared" si="0"/>
        <v>AGO</v>
      </c>
      <c r="M37" s="17">
        <v>42957</v>
      </c>
      <c r="N37" s="17" t="str">
        <f t="shared" ca="1" si="1"/>
        <v>Pagamento Realizado</v>
      </c>
    </row>
    <row r="38" spans="3:14" ht="15.75" thickBot="1" x14ac:dyDescent="0.3">
      <c r="C38" s="17">
        <v>42870</v>
      </c>
      <c r="D38" s="18" t="s">
        <v>91</v>
      </c>
      <c r="E38" s="18" t="s">
        <v>34</v>
      </c>
      <c r="F38" s="18" t="s">
        <v>134</v>
      </c>
      <c r="G38" s="18" t="s">
        <v>11</v>
      </c>
      <c r="H38" s="18" t="s">
        <v>80</v>
      </c>
      <c r="I38" s="19">
        <v>792</v>
      </c>
      <c r="J38" s="18" t="s">
        <v>76</v>
      </c>
      <c r="K38" s="18" t="s">
        <v>30</v>
      </c>
      <c r="L38" s="18" t="str">
        <f t="shared" si="0"/>
        <v>SET</v>
      </c>
      <c r="M38" s="17">
        <v>43006</v>
      </c>
      <c r="N38" s="17" t="str">
        <f t="shared" ca="1" si="1"/>
        <v>Pagamento Realizado</v>
      </c>
    </row>
    <row r="39" spans="3:14" ht="15.75" thickBot="1" x14ac:dyDescent="0.3">
      <c r="C39" s="17">
        <v>42887</v>
      </c>
      <c r="D39" s="18" t="s">
        <v>92</v>
      </c>
      <c r="E39" s="18" t="s">
        <v>32</v>
      </c>
      <c r="F39" s="18" t="s">
        <v>135</v>
      </c>
      <c r="G39" s="18" t="s">
        <v>12</v>
      </c>
      <c r="H39" s="18" t="s">
        <v>81</v>
      </c>
      <c r="I39" s="19">
        <v>1082</v>
      </c>
      <c r="J39" s="18" t="s">
        <v>76</v>
      </c>
      <c r="K39" s="18" t="s">
        <v>31</v>
      </c>
      <c r="L39" s="18" t="str">
        <f t="shared" si="0"/>
        <v>JUL</v>
      </c>
      <c r="M39" s="17">
        <v>42922</v>
      </c>
      <c r="N39" s="17" t="str">
        <f t="shared" ca="1" si="1"/>
        <v>Pagamento Realizado</v>
      </c>
    </row>
    <row r="40" spans="3:14" ht="15.75" thickBot="1" x14ac:dyDescent="0.3">
      <c r="C40" s="17">
        <v>43082</v>
      </c>
      <c r="D40" s="18" t="s">
        <v>91</v>
      </c>
      <c r="E40" s="18" t="s">
        <v>33</v>
      </c>
      <c r="F40" s="18" t="s">
        <v>136</v>
      </c>
      <c r="G40" s="18" t="s">
        <v>14</v>
      </c>
      <c r="H40" s="18" t="s">
        <v>94</v>
      </c>
      <c r="I40" s="19">
        <v>878</v>
      </c>
      <c r="J40" s="18"/>
      <c r="K40" s="18" t="s">
        <v>30</v>
      </c>
      <c r="L40" s="18" t="str">
        <f t="shared" si="0"/>
        <v/>
      </c>
      <c r="M40" s="17"/>
      <c r="N40" s="17" t="str">
        <f t="shared" ca="1" si="1"/>
        <v>A Pagar</v>
      </c>
    </row>
  </sheetData>
  <mergeCells count="2">
    <mergeCell ref="C2:H2"/>
    <mergeCell ref="I2:N2"/>
  </mergeCells>
  <conditionalFormatting sqref="N5:N40">
    <cfRule type="containsText" dxfId="2" priority="1" operator="containsText" text="Proximo">
      <formula>NOT(ISERROR(SEARCH("Proximo",N5)))</formula>
    </cfRule>
    <cfRule type="cellIs" dxfId="1" priority="2" operator="equal">
      <formula>"Pagamento Realizado"</formula>
    </cfRule>
    <cfRule type="cellIs" dxfId="0" priority="3" operator="equal">
      <formula>"Vencido"</formula>
    </cfRule>
  </conditionalFormatting>
  <dataValidations count="1">
    <dataValidation type="list" allowBlank="1" showInputMessage="1" showErrorMessage="1" sqref="J5:J40">
      <formula1>"S"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'C:\Users\marcio\Desktop\TeachX.git\trunk\Turma Maio 2017\Aula 9\[Projeto Controle Financeiro Parte Final.xlsx]Dados'!#REF!</xm:f>
          </x14:formula1>
          <xm:sqref>K5:K40</xm:sqref>
        </x14:dataValidation>
        <x14:dataValidation type="list" allowBlank="1" showInputMessage="1" showErrorMessage="1">
          <x14:formula1>
            <xm:f>'C:\Users\marcio\Desktop\TeachX.git\trunk\Turma Maio 2017\Aula 9\[Projeto Controle Financeiro Parte Final.xlsx]Dados'!#REF!</xm:f>
          </x14:formula1>
          <xm:sqref>G5:G40</xm:sqref>
        </x14:dataValidation>
        <x14:dataValidation type="list" allowBlank="1" showInputMessage="1" showErrorMessage="1">
          <x14:formula1>
            <xm:f>'C:\Users\marcio\Desktop\TeachX.git\trunk\Turma Maio 2017\Aula 9\[Projeto Controle Financeiro Parte Final.xlsx]Dados'!#REF!</xm:f>
          </x14:formula1>
          <xm:sqref>E5:E22 E26:E39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81BD"/>
  </sheetPr>
  <dimension ref="C1:P30"/>
  <sheetViews>
    <sheetView showGridLines="0" showRowColHeaders="0" zoomScale="90" zoomScaleNormal="90" workbookViewId="0">
      <selection activeCell="D13" sqref="D13"/>
    </sheetView>
  </sheetViews>
  <sheetFormatPr defaultRowHeight="14.25" x14ac:dyDescent="0.2"/>
  <cols>
    <col min="1" max="1" width="25.7109375" style="7" customWidth="1"/>
    <col min="2" max="2" width="1.7109375" style="7" customWidth="1"/>
    <col min="3" max="3" width="37.5703125" style="7" bestFit="1" customWidth="1"/>
    <col min="4" max="16" width="13" style="7" customWidth="1"/>
    <col min="17" max="16384" width="9.140625" style="7"/>
  </cols>
  <sheetData>
    <row r="1" spans="3:16" ht="9.9499999999999993" customHeight="1" x14ac:dyDescent="0.2"/>
    <row r="2" spans="3:16" ht="14.25" customHeight="1" x14ac:dyDescent="0.25">
      <c r="C2" s="32" t="s">
        <v>97</v>
      </c>
      <c r="D2" s="32"/>
      <c r="E2" s="32"/>
      <c r="F2" s="32"/>
      <c r="G2" s="32"/>
      <c r="H2" s="32"/>
      <c r="I2" s="34"/>
      <c r="J2" s="34"/>
      <c r="K2" s="34"/>
      <c r="L2" s="34"/>
      <c r="M2" s="34"/>
      <c r="N2" s="34"/>
      <c r="O2" s="34"/>
      <c r="P2" s="34"/>
    </row>
    <row r="3" spans="3:16" ht="9.9499999999999993" customHeight="1" x14ac:dyDescent="0.2"/>
    <row r="4" spans="3:16" ht="15.75" customHeight="1" thickBot="1" x14ac:dyDescent="0.3">
      <c r="C4" s="2" t="s">
        <v>98</v>
      </c>
      <c r="D4" s="2" t="s">
        <v>99</v>
      </c>
      <c r="E4" s="2" t="s">
        <v>100</v>
      </c>
      <c r="F4" s="2" t="s">
        <v>101</v>
      </c>
      <c r="G4" s="2" t="s">
        <v>102</v>
      </c>
      <c r="H4" s="2" t="s">
        <v>103</v>
      </c>
      <c r="I4" s="2" t="s">
        <v>104</v>
      </c>
      <c r="J4" s="2" t="s">
        <v>105</v>
      </c>
      <c r="K4" s="2" t="s">
        <v>106</v>
      </c>
      <c r="L4" s="2" t="s">
        <v>107</v>
      </c>
      <c r="M4" s="2" t="s">
        <v>108</v>
      </c>
      <c r="N4" s="2" t="s">
        <v>109</v>
      </c>
      <c r="O4" s="2" t="s">
        <v>110</v>
      </c>
      <c r="P4" s="2" t="s">
        <v>111</v>
      </c>
    </row>
    <row r="5" spans="3:16" ht="15.75" hidden="1" customHeight="1" thickTop="1" thickBot="1" x14ac:dyDescent="0.25">
      <c r="C5" s="12"/>
      <c r="D5" s="13" t="s">
        <v>112</v>
      </c>
      <c r="E5" s="13" t="s">
        <v>113</v>
      </c>
      <c r="F5" s="13" t="s">
        <v>114</v>
      </c>
      <c r="G5" s="13" t="s">
        <v>115</v>
      </c>
      <c r="H5" s="13" t="s">
        <v>116</v>
      </c>
      <c r="I5" s="13" t="s">
        <v>117</v>
      </c>
      <c r="J5" s="13" t="s">
        <v>118</v>
      </c>
      <c r="K5" s="13" t="s">
        <v>119</v>
      </c>
      <c r="L5" s="13" t="s">
        <v>120</v>
      </c>
      <c r="M5" s="13" t="s">
        <v>121</v>
      </c>
      <c r="N5" s="13" t="s">
        <v>122</v>
      </c>
      <c r="O5" s="13" t="s">
        <v>123</v>
      </c>
      <c r="P5" s="13"/>
    </row>
    <row r="6" spans="3:16" ht="15.75" customHeight="1" thickTop="1" thickBot="1" x14ac:dyDescent="0.3">
      <c r="C6" s="2" t="s">
        <v>3</v>
      </c>
      <c r="D6" s="16">
        <f>SUMIFS('Contas a Receber'!$J$5:$J$40,'Contas a Receber'!$H$5:$H$40,GRÁFICOS!$C6,'Contas a Receber'!$M$5:$M$40,GRÁFICOS!D$4,'Contas a Receber'!$K$5:$K$40,"S")</f>
        <v>0</v>
      </c>
      <c r="E6" s="16">
        <f>SUMIFS('Contas a Receber'!$J$5:$J$40,'Contas a Receber'!$H$5:$H$40,GRÁFICOS!$C6,'Contas a Receber'!$M$5:$M$40,GRÁFICOS!E$4,'Contas a Receber'!$K$5:$K$40,"S")</f>
        <v>0</v>
      </c>
      <c r="F6" s="16">
        <f>SUMIFS('Contas a Receber'!$J$5:$J$40,'Contas a Receber'!$H$5:$H$40,GRÁFICOS!$C6,'Contas a Receber'!$M$5:$M$40,GRÁFICOS!F$4,'Contas a Receber'!$K$5:$K$40,"S")</f>
        <v>15</v>
      </c>
      <c r="G6" s="16">
        <f>SUMIFS('Contas a Receber'!$J$5:$J$40,'Contas a Receber'!$H$5:$H$40,GRÁFICOS!$C6,'Contas a Receber'!$M$5:$M$40,GRÁFICOS!G$4,'Contas a Receber'!$K$5:$K$40,"S")</f>
        <v>0</v>
      </c>
      <c r="H6" s="16">
        <f>SUMIFS('Contas a Receber'!$J$5:$J$40,'Contas a Receber'!$H$5:$H$40,GRÁFICOS!$C6,'Contas a Receber'!$M$5:$M$40,GRÁFICOS!H$4,'Contas a Receber'!$K$5:$K$40,"S")</f>
        <v>0</v>
      </c>
      <c r="I6" s="16">
        <f>SUMIFS('Contas a Receber'!$J$5:$J$40,'Contas a Receber'!$H$5:$H$40,GRÁFICOS!$C6,'Contas a Receber'!$M$5:$M$40,GRÁFICOS!I$4,'Contas a Receber'!$K$5:$K$40,"S")</f>
        <v>0</v>
      </c>
      <c r="J6" s="16">
        <f>SUMIFS('Contas a Receber'!$J$5:$J$40,'Contas a Receber'!$H$5:$H$40,GRÁFICOS!$C6,'Contas a Receber'!$M$5:$M$40,GRÁFICOS!J$4,'Contas a Receber'!$K$5:$K$40,"S")</f>
        <v>40</v>
      </c>
      <c r="K6" s="16">
        <f>SUMIFS('Contas a Receber'!$J$5:$J$40,'Contas a Receber'!$H$5:$H$40,GRÁFICOS!$C6,'Contas a Receber'!$M$5:$M$40,GRÁFICOS!K$4,'Contas a Receber'!$K$5:$K$40,"S")</f>
        <v>20</v>
      </c>
      <c r="L6" s="16">
        <f>SUMIFS('Contas a Receber'!$J$5:$J$40,'Contas a Receber'!$H$5:$H$40,GRÁFICOS!$C6,'Contas a Receber'!$M$5:$M$40,GRÁFICOS!L$4,'Contas a Receber'!$K$5:$K$40,"S")</f>
        <v>190</v>
      </c>
      <c r="M6" s="16">
        <f>SUMIFS('Contas a Receber'!$J$5:$J$40,'Contas a Receber'!$H$5:$H$40,GRÁFICOS!$C6,'Contas a Receber'!$M$5:$M$40,GRÁFICOS!M$4,'Contas a Receber'!$K$5:$K$40,"S")</f>
        <v>0</v>
      </c>
      <c r="N6" s="16">
        <f>SUMIFS('Contas a Receber'!$J$5:$J$40,'Contas a Receber'!$H$5:$H$40,GRÁFICOS!$C6,'Contas a Receber'!$M$5:$M$40,GRÁFICOS!N$4,'Contas a Receber'!$K$5:$K$40,"S")</f>
        <v>0</v>
      </c>
      <c r="O6" s="16">
        <f>SUMIFS('Contas a Receber'!$J$5:$J$40,'Contas a Receber'!$H$5:$H$40,GRÁFICOS!$C6,'Contas a Receber'!$M$5:$M$40,GRÁFICOS!O$4,'Contas a Receber'!$K$5:$K$40,"S")</f>
        <v>0</v>
      </c>
      <c r="P6" s="16">
        <f>SUM(D6:O6)</f>
        <v>265</v>
      </c>
    </row>
    <row r="7" spans="3:16" ht="15.75" customHeight="1" thickTop="1" thickBot="1" x14ac:dyDescent="0.3">
      <c r="C7" s="2" t="s">
        <v>4</v>
      </c>
      <c r="D7" s="16">
        <f>SUMIFS('Contas a Receber'!$J$5:$J$40,'Contas a Receber'!$H$5:$H$40,GRÁFICOS!$C7,'Contas a Receber'!$M$5:$M$40,GRÁFICOS!D$4,'Contas a Receber'!$K$5:$K$40,"S")</f>
        <v>0</v>
      </c>
      <c r="E7" s="16">
        <f>SUMIFS('Contas a Receber'!$J$5:$J$40,'Contas a Receber'!$H$5:$H$40,GRÁFICOS!$C7,'Contas a Receber'!$M$5:$M$40,GRÁFICOS!E$4,'Contas a Receber'!$K$5:$K$40,"S")</f>
        <v>0</v>
      </c>
      <c r="F7" s="16">
        <f>SUMIFS('Contas a Receber'!$J$5:$J$40,'Contas a Receber'!$H$5:$H$40,GRÁFICOS!$C7,'Contas a Receber'!$M$5:$M$40,GRÁFICOS!F$4,'Contas a Receber'!$K$5:$K$40,"S")</f>
        <v>0</v>
      </c>
      <c r="G7" s="16">
        <f>SUMIFS('Contas a Receber'!$J$5:$J$40,'Contas a Receber'!$H$5:$H$40,GRÁFICOS!$C7,'Contas a Receber'!$M$5:$M$40,GRÁFICOS!G$4,'Contas a Receber'!$K$5:$K$40,"S")</f>
        <v>0</v>
      </c>
      <c r="H7" s="16">
        <f>SUMIFS('Contas a Receber'!$J$5:$J$40,'Contas a Receber'!$H$5:$H$40,GRÁFICOS!$C7,'Contas a Receber'!$M$5:$M$40,GRÁFICOS!H$4,'Contas a Receber'!$K$5:$K$40,"S")</f>
        <v>150</v>
      </c>
      <c r="I7" s="16">
        <f>SUMIFS('Contas a Receber'!$J$5:$J$40,'Contas a Receber'!$H$5:$H$40,GRÁFICOS!$C7,'Contas a Receber'!$M$5:$M$40,GRÁFICOS!I$4,'Contas a Receber'!$K$5:$K$40,"S")</f>
        <v>30</v>
      </c>
      <c r="J7" s="16">
        <f>SUMIFS('Contas a Receber'!$J$5:$J$40,'Contas a Receber'!$H$5:$H$40,GRÁFICOS!$C7,'Contas a Receber'!$M$5:$M$40,GRÁFICOS!J$4,'Contas a Receber'!$K$5:$K$40,"S")</f>
        <v>0</v>
      </c>
      <c r="K7" s="16">
        <f>SUMIFS('Contas a Receber'!$J$5:$J$40,'Contas a Receber'!$H$5:$H$40,GRÁFICOS!$C7,'Contas a Receber'!$M$5:$M$40,GRÁFICOS!K$4,'Contas a Receber'!$K$5:$K$40,"S")</f>
        <v>25</v>
      </c>
      <c r="L7" s="16">
        <f>SUMIFS('Contas a Receber'!$J$5:$J$40,'Contas a Receber'!$H$5:$H$40,GRÁFICOS!$C7,'Contas a Receber'!$M$5:$M$40,GRÁFICOS!L$4,'Contas a Receber'!$K$5:$K$40,"S")</f>
        <v>0</v>
      </c>
      <c r="M7" s="16">
        <f>SUMIFS('Contas a Receber'!$J$5:$J$40,'Contas a Receber'!$H$5:$H$40,GRÁFICOS!$C7,'Contas a Receber'!$M$5:$M$40,GRÁFICOS!M$4,'Contas a Receber'!$K$5:$K$40,"S")</f>
        <v>0</v>
      </c>
      <c r="N7" s="16">
        <f>SUMIFS('Contas a Receber'!$J$5:$J$40,'Contas a Receber'!$H$5:$H$40,GRÁFICOS!$C7,'Contas a Receber'!$M$5:$M$40,GRÁFICOS!N$4,'Contas a Receber'!$K$5:$K$40,"S")</f>
        <v>25</v>
      </c>
      <c r="O7" s="16">
        <f>SUMIFS('Contas a Receber'!$J$5:$J$40,'Contas a Receber'!$H$5:$H$40,GRÁFICOS!$C7,'Contas a Receber'!$M$5:$M$40,GRÁFICOS!O$4,'Contas a Receber'!$K$5:$K$40,"S")</f>
        <v>0</v>
      </c>
      <c r="P7" s="16">
        <f t="shared" ref="P7:P28" si="0">SUM(D7:O7)</f>
        <v>230</v>
      </c>
    </row>
    <row r="8" spans="3:16" ht="16.5" thickTop="1" thickBot="1" x14ac:dyDescent="0.3">
      <c r="C8" s="2" t="s">
        <v>5</v>
      </c>
      <c r="D8" s="16">
        <f>SUMIFS('Contas a Receber'!$J$5:$J$40,'Contas a Receber'!$H$5:$H$40,GRÁFICOS!$C8,'Contas a Receber'!$M$5:$M$40,GRÁFICOS!D$4,'Contas a Receber'!$K$5:$K$40,"S")</f>
        <v>25</v>
      </c>
      <c r="E8" s="16">
        <f>SUMIFS('Contas a Receber'!$J$5:$J$40,'Contas a Receber'!$H$5:$H$40,GRÁFICOS!$C8,'Contas a Receber'!$M$5:$M$40,GRÁFICOS!E$4,'Contas a Receber'!$K$5:$K$40,"S")</f>
        <v>0</v>
      </c>
      <c r="F8" s="16">
        <f>SUMIFS('Contas a Receber'!$J$5:$J$40,'Contas a Receber'!$H$5:$H$40,GRÁFICOS!$C8,'Contas a Receber'!$M$5:$M$40,GRÁFICOS!F$4,'Contas a Receber'!$K$5:$K$40,"S")</f>
        <v>0</v>
      </c>
      <c r="G8" s="16">
        <f>SUMIFS('Contas a Receber'!$J$5:$J$40,'Contas a Receber'!$H$5:$H$40,GRÁFICOS!$C8,'Contas a Receber'!$M$5:$M$40,GRÁFICOS!G$4,'Contas a Receber'!$K$5:$K$40,"S")</f>
        <v>150</v>
      </c>
      <c r="H8" s="16">
        <f>SUMIFS('Contas a Receber'!$J$5:$J$40,'Contas a Receber'!$H$5:$H$40,GRÁFICOS!$C8,'Contas a Receber'!$M$5:$M$40,GRÁFICOS!H$4,'Contas a Receber'!$K$5:$K$40,"S")</f>
        <v>0</v>
      </c>
      <c r="I8" s="16">
        <f>SUMIFS('Contas a Receber'!$J$5:$J$40,'Contas a Receber'!$H$5:$H$40,GRÁFICOS!$C8,'Contas a Receber'!$M$5:$M$40,GRÁFICOS!I$4,'Contas a Receber'!$K$5:$K$40,"S")</f>
        <v>0</v>
      </c>
      <c r="J8" s="16">
        <f>SUMIFS('Contas a Receber'!$J$5:$J$40,'Contas a Receber'!$H$5:$H$40,GRÁFICOS!$C8,'Contas a Receber'!$M$5:$M$40,GRÁFICOS!J$4,'Contas a Receber'!$K$5:$K$40,"S")</f>
        <v>0</v>
      </c>
      <c r="K8" s="16">
        <f>SUMIFS('Contas a Receber'!$J$5:$J$40,'Contas a Receber'!$H$5:$H$40,GRÁFICOS!$C8,'Contas a Receber'!$M$5:$M$40,GRÁFICOS!K$4,'Contas a Receber'!$K$5:$K$40,"S")</f>
        <v>0</v>
      </c>
      <c r="L8" s="16">
        <f>SUMIFS('Contas a Receber'!$J$5:$J$40,'Contas a Receber'!$H$5:$H$40,GRÁFICOS!$C8,'Contas a Receber'!$M$5:$M$40,GRÁFICOS!L$4,'Contas a Receber'!$K$5:$K$40,"S")</f>
        <v>115</v>
      </c>
      <c r="M8" s="16">
        <f>SUMIFS('Contas a Receber'!$J$5:$J$40,'Contas a Receber'!$H$5:$H$40,GRÁFICOS!$C8,'Contas a Receber'!$M$5:$M$40,GRÁFICOS!M$4,'Contas a Receber'!$K$5:$K$40,"S")</f>
        <v>0</v>
      </c>
      <c r="N8" s="16">
        <f>SUMIFS('Contas a Receber'!$J$5:$J$40,'Contas a Receber'!$H$5:$H$40,GRÁFICOS!$C8,'Contas a Receber'!$M$5:$M$40,GRÁFICOS!N$4,'Contas a Receber'!$K$5:$K$40,"S")</f>
        <v>40</v>
      </c>
      <c r="O8" s="16">
        <f>SUMIFS('Contas a Receber'!$J$5:$J$40,'Contas a Receber'!$H$5:$H$40,GRÁFICOS!$C8,'Contas a Receber'!$M$5:$M$40,GRÁFICOS!O$4,'Contas a Receber'!$K$5:$K$40,"S")</f>
        <v>0</v>
      </c>
      <c r="P8" s="16">
        <f t="shared" si="0"/>
        <v>330</v>
      </c>
    </row>
    <row r="9" spans="3:16" ht="16.5" thickTop="1" thickBot="1" x14ac:dyDescent="0.3">
      <c r="C9" s="2" t="s">
        <v>6</v>
      </c>
      <c r="D9" s="16">
        <f>SUMIFS('Contas a Receber'!$J$5:$J$40,'Contas a Receber'!$H$5:$H$40,GRÁFICOS!$C9,'Contas a Receber'!$M$5:$M$40,GRÁFICOS!D$4,'Contas a Receber'!$K$5:$K$40,"S")</f>
        <v>0</v>
      </c>
      <c r="E9" s="16">
        <f>SUMIFS('Contas a Receber'!$J$5:$J$40,'Contas a Receber'!$H$5:$H$40,GRÁFICOS!$C9,'Contas a Receber'!$M$5:$M$40,GRÁFICOS!E$4,'Contas a Receber'!$K$5:$K$40,"S")</f>
        <v>70</v>
      </c>
      <c r="F9" s="16">
        <f>SUMIFS('Contas a Receber'!$J$5:$J$40,'Contas a Receber'!$H$5:$H$40,GRÁFICOS!$C9,'Contas a Receber'!$M$5:$M$40,GRÁFICOS!F$4,'Contas a Receber'!$K$5:$K$40,"S")</f>
        <v>0</v>
      </c>
      <c r="G9" s="16">
        <f>SUMIFS('Contas a Receber'!$J$5:$J$40,'Contas a Receber'!$H$5:$H$40,GRÁFICOS!$C9,'Contas a Receber'!$M$5:$M$40,GRÁFICOS!G$4,'Contas a Receber'!$K$5:$K$40,"S")</f>
        <v>0</v>
      </c>
      <c r="H9" s="16">
        <f>SUMIFS('Contas a Receber'!$J$5:$J$40,'Contas a Receber'!$H$5:$H$40,GRÁFICOS!$C9,'Contas a Receber'!$M$5:$M$40,GRÁFICOS!H$4,'Contas a Receber'!$K$5:$K$40,"S")</f>
        <v>0</v>
      </c>
      <c r="I9" s="16">
        <f>SUMIFS('Contas a Receber'!$J$5:$J$40,'Contas a Receber'!$H$5:$H$40,GRÁFICOS!$C9,'Contas a Receber'!$M$5:$M$40,GRÁFICOS!I$4,'Contas a Receber'!$K$5:$K$40,"S")</f>
        <v>0</v>
      </c>
      <c r="J9" s="16">
        <f>SUMIFS('Contas a Receber'!$J$5:$J$40,'Contas a Receber'!$H$5:$H$40,GRÁFICOS!$C9,'Contas a Receber'!$M$5:$M$40,GRÁFICOS!J$4,'Contas a Receber'!$K$5:$K$40,"S")</f>
        <v>95</v>
      </c>
      <c r="K9" s="16">
        <f>SUMIFS('Contas a Receber'!$J$5:$J$40,'Contas a Receber'!$H$5:$H$40,GRÁFICOS!$C9,'Contas a Receber'!$M$5:$M$40,GRÁFICOS!K$4,'Contas a Receber'!$K$5:$K$40,"S")</f>
        <v>0</v>
      </c>
      <c r="L9" s="16">
        <f>SUMIFS('Contas a Receber'!$J$5:$J$40,'Contas a Receber'!$H$5:$H$40,GRÁFICOS!$C9,'Contas a Receber'!$M$5:$M$40,GRÁFICOS!L$4,'Contas a Receber'!$K$5:$K$40,"S")</f>
        <v>0</v>
      </c>
      <c r="M9" s="16">
        <f>SUMIFS('Contas a Receber'!$J$5:$J$40,'Contas a Receber'!$H$5:$H$40,GRÁFICOS!$C9,'Contas a Receber'!$M$5:$M$40,GRÁFICOS!M$4,'Contas a Receber'!$K$5:$K$40,"S")</f>
        <v>0</v>
      </c>
      <c r="N9" s="16">
        <f>SUMIFS('Contas a Receber'!$J$5:$J$40,'Contas a Receber'!$H$5:$H$40,GRÁFICOS!$C9,'Contas a Receber'!$M$5:$M$40,GRÁFICOS!N$4,'Contas a Receber'!$K$5:$K$40,"S")</f>
        <v>0</v>
      </c>
      <c r="O9" s="16">
        <f>SUMIFS('Contas a Receber'!$J$5:$J$40,'Contas a Receber'!$H$5:$H$40,GRÁFICOS!$C9,'Contas a Receber'!$M$5:$M$40,GRÁFICOS!O$4,'Contas a Receber'!$K$5:$K$40,"S")</f>
        <v>0</v>
      </c>
      <c r="P9" s="16">
        <f t="shared" si="0"/>
        <v>165</v>
      </c>
    </row>
    <row r="10" spans="3:16" ht="16.5" thickTop="1" thickBot="1" x14ac:dyDescent="0.3">
      <c r="C10" s="2" t="s">
        <v>7</v>
      </c>
      <c r="D10" s="16">
        <f>SUMIFS('Contas a Receber'!$J$5:$J$40,'Contas a Receber'!$H$5:$H$40,GRÁFICOS!$C10,'Contas a Receber'!$M$5:$M$40,GRÁFICOS!D$4,'Contas a Receber'!$K$5:$K$40,"S")</f>
        <v>0</v>
      </c>
      <c r="E10" s="16">
        <f>SUMIFS('Contas a Receber'!$J$5:$J$40,'Contas a Receber'!$H$5:$H$40,GRÁFICOS!$C10,'Contas a Receber'!$M$5:$M$40,GRÁFICOS!E$4,'Contas a Receber'!$K$5:$K$40,"S")</f>
        <v>25</v>
      </c>
      <c r="F10" s="16">
        <f>SUMIFS('Contas a Receber'!$J$5:$J$40,'Contas a Receber'!$H$5:$H$40,GRÁFICOS!$C10,'Contas a Receber'!$M$5:$M$40,GRÁFICOS!F$4,'Contas a Receber'!$K$5:$K$40,"S")</f>
        <v>20</v>
      </c>
      <c r="G10" s="16">
        <f>SUMIFS('Contas a Receber'!$J$5:$J$40,'Contas a Receber'!$H$5:$H$40,GRÁFICOS!$C10,'Contas a Receber'!$M$5:$M$40,GRÁFICOS!G$4,'Contas a Receber'!$K$5:$K$40,"S")</f>
        <v>0</v>
      </c>
      <c r="H10" s="16">
        <f>SUMIFS('Contas a Receber'!$J$5:$J$40,'Contas a Receber'!$H$5:$H$40,GRÁFICOS!$C10,'Contas a Receber'!$M$5:$M$40,GRÁFICOS!H$4,'Contas a Receber'!$K$5:$K$40,"S")</f>
        <v>0</v>
      </c>
      <c r="I10" s="16">
        <f>SUMIFS('Contas a Receber'!$J$5:$J$40,'Contas a Receber'!$H$5:$H$40,GRÁFICOS!$C10,'Contas a Receber'!$M$5:$M$40,GRÁFICOS!I$4,'Contas a Receber'!$K$5:$K$40,"S")</f>
        <v>35</v>
      </c>
      <c r="J10" s="16">
        <f>SUMIFS('Contas a Receber'!$J$5:$J$40,'Contas a Receber'!$H$5:$H$40,GRÁFICOS!$C10,'Contas a Receber'!$M$5:$M$40,GRÁFICOS!J$4,'Contas a Receber'!$K$5:$K$40,"S")</f>
        <v>0</v>
      </c>
      <c r="K10" s="16">
        <f>SUMIFS('Contas a Receber'!$J$5:$J$40,'Contas a Receber'!$H$5:$H$40,GRÁFICOS!$C10,'Contas a Receber'!$M$5:$M$40,GRÁFICOS!K$4,'Contas a Receber'!$K$5:$K$40,"S")</f>
        <v>0</v>
      </c>
      <c r="L10" s="16">
        <f>SUMIFS('Contas a Receber'!$J$5:$J$40,'Contas a Receber'!$H$5:$H$40,GRÁFICOS!$C10,'Contas a Receber'!$M$5:$M$40,GRÁFICOS!L$4,'Contas a Receber'!$K$5:$K$40,"S")</f>
        <v>0</v>
      </c>
      <c r="M10" s="16">
        <f>SUMIFS('Contas a Receber'!$J$5:$J$40,'Contas a Receber'!$H$5:$H$40,GRÁFICOS!$C10,'Contas a Receber'!$M$5:$M$40,GRÁFICOS!M$4,'Contas a Receber'!$K$5:$K$40,"S")</f>
        <v>0</v>
      </c>
      <c r="N10" s="16">
        <f>SUMIFS('Contas a Receber'!$J$5:$J$40,'Contas a Receber'!$H$5:$H$40,GRÁFICOS!$C10,'Contas a Receber'!$M$5:$M$40,GRÁFICOS!N$4,'Contas a Receber'!$K$5:$K$40,"S")</f>
        <v>25</v>
      </c>
      <c r="O10" s="16">
        <f>SUMIFS('Contas a Receber'!$J$5:$J$40,'Contas a Receber'!$H$5:$H$40,GRÁFICOS!$C10,'Contas a Receber'!$M$5:$M$40,GRÁFICOS!O$4,'Contas a Receber'!$K$5:$K$40,"S")</f>
        <v>0</v>
      </c>
      <c r="P10" s="16">
        <f t="shared" si="0"/>
        <v>105</v>
      </c>
    </row>
    <row r="11" spans="3:16" ht="16.5" thickTop="1" thickBot="1" x14ac:dyDescent="0.3">
      <c r="C11" s="2" t="s">
        <v>8</v>
      </c>
      <c r="D11" s="16">
        <f>SUMIFS('Contas a Receber'!$J$5:$J$40,'Contas a Receber'!$H$5:$H$40,GRÁFICOS!$C11,'Contas a Receber'!$M$5:$M$40,GRÁFICOS!D$4,'Contas a Receber'!$K$5:$K$40,"S")</f>
        <v>0</v>
      </c>
      <c r="E11" s="16">
        <f>SUMIFS('Contas a Receber'!$J$5:$J$40,'Contas a Receber'!$H$5:$H$40,GRÁFICOS!$C11,'Contas a Receber'!$M$5:$M$40,GRÁFICOS!E$4,'Contas a Receber'!$K$5:$K$40,"S")</f>
        <v>0</v>
      </c>
      <c r="F11" s="16">
        <f>SUMIFS('Contas a Receber'!$J$5:$J$40,'Contas a Receber'!$H$5:$H$40,GRÁFICOS!$C11,'Contas a Receber'!$M$5:$M$40,GRÁFICOS!F$4,'Contas a Receber'!$K$5:$K$40,"S")</f>
        <v>0</v>
      </c>
      <c r="G11" s="16">
        <f>SUMIFS('Contas a Receber'!$J$5:$J$40,'Contas a Receber'!$H$5:$H$40,GRÁFICOS!$C11,'Contas a Receber'!$M$5:$M$40,GRÁFICOS!G$4,'Contas a Receber'!$K$5:$K$40,"S")</f>
        <v>25</v>
      </c>
      <c r="H11" s="16">
        <f>SUMIFS('Contas a Receber'!$J$5:$J$40,'Contas a Receber'!$H$5:$H$40,GRÁFICOS!$C11,'Contas a Receber'!$M$5:$M$40,GRÁFICOS!H$4,'Contas a Receber'!$K$5:$K$40,"S")</f>
        <v>40</v>
      </c>
      <c r="I11" s="16">
        <f>SUMIFS('Contas a Receber'!$J$5:$J$40,'Contas a Receber'!$H$5:$H$40,GRÁFICOS!$C11,'Contas a Receber'!$M$5:$M$40,GRÁFICOS!I$4,'Contas a Receber'!$K$5:$K$40,"S")</f>
        <v>0</v>
      </c>
      <c r="J11" s="16">
        <f>SUMIFS('Contas a Receber'!$J$5:$J$40,'Contas a Receber'!$H$5:$H$40,GRÁFICOS!$C11,'Contas a Receber'!$M$5:$M$40,GRÁFICOS!J$4,'Contas a Receber'!$K$5:$K$40,"S")</f>
        <v>0</v>
      </c>
      <c r="K11" s="16">
        <f>SUMIFS('Contas a Receber'!$J$5:$J$40,'Contas a Receber'!$H$5:$H$40,GRÁFICOS!$C11,'Contas a Receber'!$M$5:$M$40,GRÁFICOS!K$4,'Contas a Receber'!$K$5:$K$40,"S")</f>
        <v>0</v>
      </c>
      <c r="L11" s="16">
        <f>SUMIFS('Contas a Receber'!$J$5:$J$40,'Contas a Receber'!$H$5:$H$40,GRÁFICOS!$C11,'Contas a Receber'!$M$5:$M$40,GRÁFICOS!L$4,'Contas a Receber'!$K$5:$K$40,"S")</f>
        <v>0</v>
      </c>
      <c r="M11" s="16">
        <f>SUMIFS('Contas a Receber'!$J$5:$J$40,'Contas a Receber'!$H$5:$H$40,GRÁFICOS!$C11,'Contas a Receber'!$M$5:$M$40,GRÁFICOS!M$4,'Contas a Receber'!$K$5:$K$40,"S")</f>
        <v>0</v>
      </c>
      <c r="N11" s="16">
        <f>SUMIFS('Contas a Receber'!$J$5:$J$40,'Contas a Receber'!$H$5:$H$40,GRÁFICOS!$C11,'Contas a Receber'!$M$5:$M$40,GRÁFICOS!N$4,'Contas a Receber'!$K$5:$K$40,"S")</f>
        <v>0</v>
      </c>
      <c r="O11" s="16">
        <f>SUMIFS('Contas a Receber'!$J$5:$J$40,'Contas a Receber'!$H$5:$H$40,GRÁFICOS!$C11,'Contas a Receber'!$M$5:$M$40,GRÁFICOS!O$4,'Contas a Receber'!$K$5:$K$40,"S")</f>
        <v>0</v>
      </c>
      <c r="P11" s="16">
        <f t="shared" si="0"/>
        <v>65</v>
      </c>
    </row>
    <row r="12" spans="3:16" ht="16.5" thickTop="1" thickBot="1" x14ac:dyDescent="0.3">
      <c r="C12" s="2" t="s">
        <v>64</v>
      </c>
      <c r="D12" s="16">
        <f t="shared" ref="D12:O12" si="1">SUM(D6:D11)</f>
        <v>25</v>
      </c>
      <c r="E12" s="16">
        <f t="shared" si="1"/>
        <v>95</v>
      </c>
      <c r="F12" s="16">
        <f t="shared" si="1"/>
        <v>35</v>
      </c>
      <c r="G12" s="16">
        <f t="shared" si="1"/>
        <v>175</v>
      </c>
      <c r="H12" s="16">
        <f t="shared" si="1"/>
        <v>190</v>
      </c>
      <c r="I12" s="16">
        <f t="shared" si="1"/>
        <v>65</v>
      </c>
      <c r="J12" s="16">
        <f t="shared" si="1"/>
        <v>135</v>
      </c>
      <c r="K12" s="16">
        <f t="shared" si="1"/>
        <v>45</v>
      </c>
      <c r="L12" s="16">
        <f t="shared" si="1"/>
        <v>305</v>
      </c>
      <c r="M12" s="16">
        <f t="shared" si="1"/>
        <v>0</v>
      </c>
      <c r="N12" s="16">
        <f t="shared" si="1"/>
        <v>90</v>
      </c>
      <c r="O12" s="16">
        <f t="shared" si="1"/>
        <v>0</v>
      </c>
      <c r="P12" s="16">
        <f>SUM(D12:O12)</f>
        <v>1160</v>
      </c>
    </row>
    <row r="13" spans="3:16" ht="16.5" thickTop="1" thickBot="1" x14ac:dyDescent="0.3">
      <c r="C13" s="2" t="s">
        <v>9</v>
      </c>
      <c r="D13" s="16">
        <f t="shared" ref="D13:O27" si="2">SUMIFS(valor_cp,plano_cp,$C13,mes_cp,D$4,confirmacao_cp,"S")</f>
        <v>1179</v>
      </c>
      <c r="E13" s="16">
        <f t="shared" si="2"/>
        <v>598</v>
      </c>
      <c r="F13" s="16">
        <f t="shared" si="2"/>
        <v>726</v>
      </c>
      <c r="G13" s="16">
        <f t="shared" si="2"/>
        <v>0</v>
      </c>
      <c r="H13" s="16">
        <f t="shared" si="2"/>
        <v>0</v>
      </c>
      <c r="I13" s="16">
        <f t="shared" si="2"/>
        <v>920</v>
      </c>
      <c r="J13" s="16">
        <f t="shared" si="2"/>
        <v>0</v>
      </c>
      <c r="K13" s="16">
        <f t="shared" si="2"/>
        <v>565</v>
      </c>
      <c r="L13" s="16">
        <f t="shared" si="2"/>
        <v>0</v>
      </c>
      <c r="M13" s="16">
        <f t="shared" si="2"/>
        <v>0</v>
      </c>
      <c r="N13" s="16">
        <f t="shared" si="2"/>
        <v>0</v>
      </c>
      <c r="O13" s="16">
        <f t="shared" si="2"/>
        <v>0</v>
      </c>
      <c r="P13" s="16">
        <f>SUM(D13:O13)</f>
        <v>3988</v>
      </c>
    </row>
    <row r="14" spans="3:16" ht="16.5" thickTop="1" thickBot="1" x14ac:dyDescent="0.3">
      <c r="C14" s="2" t="s">
        <v>10</v>
      </c>
      <c r="D14" s="16">
        <f t="shared" si="2"/>
        <v>571</v>
      </c>
      <c r="E14" s="16">
        <f t="shared" si="2"/>
        <v>1209</v>
      </c>
      <c r="F14" s="16">
        <f t="shared" si="2"/>
        <v>1149</v>
      </c>
      <c r="G14" s="16">
        <f t="shared" si="2"/>
        <v>0</v>
      </c>
      <c r="H14" s="16">
        <f t="shared" si="2"/>
        <v>0</v>
      </c>
      <c r="I14" s="16">
        <f t="shared" si="2"/>
        <v>1135</v>
      </c>
      <c r="J14" s="16">
        <f t="shared" si="2"/>
        <v>0</v>
      </c>
      <c r="K14" s="16">
        <f t="shared" si="2"/>
        <v>1571</v>
      </c>
      <c r="L14" s="16">
        <f t="shared" si="2"/>
        <v>0</v>
      </c>
      <c r="M14" s="16">
        <f t="shared" si="2"/>
        <v>939</v>
      </c>
      <c r="N14" s="16">
        <f t="shared" si="2"/>
        <v>0</v>
      </c>
      <c r="O14" s="16">
        <f t="shared" si="2"/>
        <v>0</v>
      </c>
      <c r="P14" s="16">
        <f t="shared" si="0"/>
        <v>6574</v>
      </c>
    </row>
    <row r="15" spans="3:16" ht="16.5" thickTop="1" thickBot="1" x14ac:dyDescent="0.3">
      <c r="C15" s="2" t="s">
        <v>11</v>
      </c>
      <c r="D15" s="16">
        <f t="shared" si="2"/>
        <v>780</v>
      </c>
      <c r="E15" s="16">
        <f t="shared" si="2"/>
        <v>0</v>
      </c>
      <c r="F15" s="16">
        <f t="shared" si="2"/>
        <v>1071</v>
      </c>
      <c r="G15" s="16">
        <f t="shared" si="2"/>
        <v>0</v>
      </c>
      <c r="H15" s="16">
        <f t="shared" si="2"/>
        <v>577</v>
      </c>
      <c r="I15" s="16">
        <f t="shared" si="2"/>
        <v>0</v>
      </c>
      <c r="J15" s="16">
        <f t="shared" si="2"/>
        <v>570</v>
      </c>
      <c r="K15" s="16">
        <f t="shared" si="2"/>
        <v>564</v>
      </c>
      <c r="L15" s="16">
        <f t="shared" si="2"/>
        <v>792</v>
      </c>
      <c r="M15" s="16">
        <f t="shared" si="2"/>
        <v>0</v>
      </c>
      <c r="N15" s="16">
        <f t="shared" si="2"/>
        <v>1208</v>
      </c>
      <c r="O15" s="16">
        <f t="shared" si="2"/>
        <v>0</v>
      </c>
      <c r="P15" s="16">
        <f t="shared" si="0"/>
        <v>5562</v>
      </c>
    </row>
    <row r="16" spans="3:16" ht="16.5" thickTop="1" thickBot="1" x14ac:dyDescent="0.3">
      <c r="C16" s="2" t="s">
        <v>12</v>
      </c>
      <c r="D16" s="16">
        <f t="shared" si="2"/>
        <v>0</v>
      </c>
      <c r="E16" s="16">
        <f t="shared" si="2"/>
        <v>709</v>
      </c>
      <c r="F16" s="16">
        <f t="shared" si="2"/>
        <v>0</v>
      </c>
      <c r="G16" s="16">
        <f t="shared" si="2"/>
        <v>688</v>
      </c>
      <c r="H16" s="16">
        <f t="shared" si="2"/>
        <v>0</v>
      </c>
      <c r="I16" s="16">
        <f t="shared" si="2"/>
        <v>1665</v>
      </c>
      <c r="J16" s="16">
        <f t="shared" si="2"/>
        <v>1753</v>
      </c>
      <c r="K16" s="16">
        <f t="shared" si="2"/>
        <v>0</v>
      </c>
      <c r="L16" s="16">
        <f t="shared" si="2"/>
        <v>0</v>
      </c>
      <c r="M16" s="16">
        <f t="shared" si="2"/>
        <v>0</v>
      </c>
      <c r="N16" s="16">
        <f t="shared" si="2"/>
        <v>974</v>
      </c>
      <c r="O16" s="16">
        <f t="shared" si="2"/>
        <v>0</v>
      </c>
      <c r="P16" s="16">
        <f t="shared" si="0"/>
        <v>5789</v>
      </c>
    </row>
    <row r="17" spans="3:16" ht="16.5" thickTop="1" thickBot="1" x14ac:dyDescent="0.3">
      <c r="C17" s="2" t="s">
        <v>13</v>
      </c>
      <c r="D17" s="16">
        <f t="shared" si="2"/>
        <v>0</v>
      </c>
      <c r="E17" s="16">
        <f t="shared" si="2"/>
        <v>746</v>
      </c>
      <c r="F17" s="16">
        <f t="shared" si="2"/>
        <v>0</v>
      </c>
      <c r="G17" s="16">
        <f t="shared" si="2"/>
        <v>0</v>
      </c>
      <c r="H17" s="16">
        <f t="shared" si="2"/>
        <v>0</v>
      </c>
      <c r="I17" s="16">
        <f t="shared" si="2"/>
        <v>0</v>
      </c>
      <c r="J17" s="16">
        <f t="shared" si="2"/>
        <v>0</v>
      </c>
      <c r="K17" s="16">
        <f t="shared" si="2"/>
        <v>0</v>
      </c>
      <c r="L17" s="16">
        <f t="shared" si="2"/>
        <v>0</v>
      </c>
      <c r="M17" s="16">
        <f t="shared" si="2"/>
        <v>0</v>
      </c>
      <c r="N17" s="16">
        <f t="shared" si="2"/>
        <v>0</v>
      </c>
      <c r="O17" s="16">
        <f t="shared" si="2"/>
        <v>0</v>
      </c>
      <c r="P17" s="16">
        <f t="shared" si="0"/>
        <v>746</v>
      </c>
    </row>
    <row r="18" spans="3:16" ht="16.5" thickTop="1" thickBot="1" x14ac:dyDescent="0.3">
      <c r="C18" s="2" t="s">
        <v>14</v>
      </c>
      <c r="D18" s="16">
        <f t="shared" si="2"/>
        <v>0</v>
      </c>
      <c r="E18" s="16">
        <f t="shared" si="2"/>
        <v>0</v>
      </c>
      <c r="F18" s="16">
        <f t="shared" si="2"/>
        <v>0</v>
      </c>
      <c r="G18" s="16">
        <f t="shared" si="2"/>
        <v>0</v>
      </c>
      <c r="H18" s="16">
        <f t="shared" si="2"/>
        <v>0</v>
      </c>
      <c r="I18" s="16">
        <f t="shared" si="2"/>
        <v>0</v>
      </c>
      <c r="J18" s="16">
        <f t="shared" si="2"/>
        <v>0</v>
      </c>
      <c r="K18" s="16">
        <f t="shared" si="2"/>
        <v>0</v>
      </c>
      <c r="L18" s="16">
        <f t="shared" si="2"/>
        <v>0</v>
      </c>
      <c r="M18" s="16">
        <f t="shared" si="2"/>
        <v>0</v>
      </c>
      <c r="N18" s="16">
        <f t="shared" si="2"/>
        <v>0</v>
      </c>
      <c r="O18" s="16">
        <f t="shared" si="2"/>
        <v>0</v>
      </c>
      <c r="P18" s="16">
        <f t="shared" si="0"/>
        <v>0</v>
      </c>
    </row>
    <row r="19" spans="3:16" ht="16.5" thickTop="1" thickBot="1" x14ac:dyDescent="0.3">
      <c r="C19" s="2" t="s">
        <v>15</v>
      </c>
      <c r="D19" s="16">
        <f t="shared" si="2"/>
        <v>0</v>
      </c>
      <c r="E19" s="16">
        <f t="shared" si="2"/>
        <v>0</v>
      </c>
      <c r="F19" s="16">
        <f t="shared" si="2"/>
        <v>0</v>
      </c>
      <c r="G19" s="16">
        <f t="shared" si="2"/>
        <v>0</v>
      </c>
      <c r="H19" s="16">
        <f t="shared" si="2"/>
        <v>0</v>
      </c>
      <c r="I19" s="16">
        <f t="shared" si="2"/>
        <v>0</v>
      </c>
      <c r="J19" s="16">
        <f t="shared" si="2"/>
        <v>0</v>
      </c>
      <c r="K19" s="16">
        <f t="shared" si="2"/>
        <v>0</v>
      </c>
      <c r="L19" s="16">
        <f t="shared" si="2"/>
        <v>0</v>
      </c>
      <c r="M19" s="16">
        <f t="shared" si="2"/>
        <v>0</v>
      </c>
      <c r="N19" s="16">
        <f t="shared" si="2"/>
        <v>0</v>
      </c>
      <c r="O19" s="16">
        <f t="shared" si="2"/>
        <v>0</v>
      </c>
      <c r="P19" s="16">
        <f t="shared" si="0"/>
        <v>0</v>
      </c>
    </row>
    <row r="20" spans="3:16" ht="16.5" thickTop="1" thickBot="1" x14ac:dyDescent="0.3">
      <c r="C20" s="2" t="s">
        <v>16</v>
      </c>
      <c r="D20" s="16">
        <f t="shared" si="2"/>
        <v>0</v>
      </c>
      <c r="E20" s="16">
        <f t="shared" si="2"/>
        <v>0</v>
      </c>
      <c r="F20" s="16">
        <f t="shared" si="2"/>
        <v>0</v>
      </c>
      <c r="G20" s="16">
        <f t="shared" si="2"/>
        <v>0</v>
      </c>
      <c r="H20" s="16">
        <f t="shared" si="2"/>
        <v>0</v>
      </c>
      <c r="I20" s="16">
        <f t="shared" si="2"/>
        <v>0</v>
      </c>
      <c r="J20" s="16">
        <f t="shared" si="2"/>
        <v>0</v>
      </c>
      <c r="K20" s="16">
        <f t="shared" si="2"/>
        <v>0</v>
      </c>
      <c r="L20" s="16">
        <f t="shared" si="2"/>
        <v>0</v>
      </c>
      <c r="M20" s="16">
        <f t="shared" si="2"/>
        <v>0</v>
      </c>
      <c r="N20" s="16">
        <f t="shared" si="2"/>
        <v>0</v>
      </c>
      <c r="O20" s="16">
        <f t="shared" si="2"/>
        <v>0</v>
      </c>
      <c r="P20" s="16">
        <f t="shared" si="0"/>
        <v>0</v>
      </c>
    </row>
    <row r="21" spans="3:16" ht="16.5" thickTop="1" thickBot="1" x14ac:dyDescent="0.3">
      <c r="C21" s="2" t="s">
        <v>17</v>
      </c>
      <c r="D21" s="16">
        <f t="shared" si="2"/>
        <v>0</v>
      </c>
      <c r="E21" s="16">
        <f t="shared" si="2"/>
        <v>0</v>
      </c>
      <c r="F21" s="16">
        <f t="shared" si="2"/>
        <v>0</v>
      </c>
      <c r="G21" s="16">
        <f t="shared" si="2"/>
        <v>0</v>
      </c>
      <c r="H21" s="16">
        <f t="shared" si="2"/>
        <v>0</v>
      </c>
      <c r="I21" s="16">
        <f t="shared" si="2"/>
        <v>0</v>
      </c>
      <c r="J21" s="16">
        <f t="shared" si="2"/>
        <v>0</v>
      </c>
      <c r="K21" s="16">
        <f t="shared" si="2"/>
        <v>0</v>
      </c>
      <c r="L21" s="16">
        <f t="shared" si="2"/>
        <v>0</v>
      </c>
      <c r="M21" s="16">
        <f t="shared" si="2"/>
        <v>0</v>
      </c>
      <c r="N21" s="16">
        <f t="shared" si="2"/>
        <v>0</v>
      </c>
      <c r="O21" s="16">
        <f t="shared" si="2"/>
        <v>0</v>
      </c>
      <c r="P21" s="16">
        <f t="shared" si="0"/>
        <v>0</v>
      </c>
    </row>
    <row r="22" spans="3:16" ht="16.5" thickTop="1" thickBot="1" x14ac:dyDescent="0.3">
      <c r="C22" s="2" t="s">
        <v>18</v>
      </c>
      <c r="D22" s="16">
        <f t="shared" si="2"/>
        <v>0</v>
      </c>
      <c r="E22" s="16">
        <f t="shared" si="2"/>
        <v>0</v>
      </c>
      <c r="F22" s="16">
        <f t="shared" si="2"/>
        <v>0</v>
      </c>
      <c r="G22" s="16">
        <f t="shared" si="2"/>
        <v>0</v>
      </c>
      <c r="H22" s="16">
        <f t="shared" si="2"/>
        <v>0</v>
      </c>
      <c r="I22" s="16">
        <f t="shared" si="2"/>
        <v>0</v>
      </c>
      <c r="J22" s="16">
        <f t="shared" si="2"/>
        <v>0</v>
      </c>
      <c r="K22" s="16">
        <f t="shared" si="2"/>
        <v>0</v>
      </c>
      <c r="L22" s="16">
        <f t="shared" si="2"/>
        <v>0</v>
      </c>
      <c r="M22" s="16">
        <f t="shared" si="2"/>
        <v>0</v>
      </c>
      <c r="N22" s="16">
        <f t="shared" si="2"/>
        <v>0</v>
      </c>
      <c r="O22" s="16">
        <f t="shared" si="2"/>
        <v>0</v>
      </c>
      <c r="P22" s="16">
        <f t="shared" si="0"/>
        <v>0</v>
      </c>
    </row>
    <row r="23" spans="3:16" ht="16.5" thickTop="1" thickBot="1" x14ac:dyDescent="0.3">
      <c r="C23" s="2" t="s">
        <v>19</v>
      </c>
      <c r="D23" s="16">
        <f t="shared" si="2"/>
        <v>0</v>
      </c>
      <c r="E23" s="16">
        <f t="shared" si="2"/>
        <v>0</v>
      </c>
      <c r="F23" s="16">
        <f t="shared" si="2"/>
        <v>0</v>
      </c>
      <c r="G23" s="16">
        <f t="shared" si="2"/>
        <v>0</v>
      </c>
      <c r="H23" s="16">
        <f t="shared" si="2"/>
        <v>0</v>
      </c>
      <c r="I23" s="16">
        <f t="shared" si="2"/>
        <v>0</v>
      </c>
      <c r="J23" s="16">
        <f t="shared" si="2"/>
        <v>0</v>
      </c>
      <c r="K23" s="16">
        <f t="shared" si="2"/>
        <v>0</v>
      </c>
      <c r="L23" s="16">
        <f t="shared" si="2"/>
        <v>0</v>
      </c>
      <c r="M23" s="16">
        <f t="shared" si="2"/>
        <v>0</v>
      </c>
      <c r="N23" s="16">
        <f t="shared" si="2"/>
        <v>0</v>
      </c>
      <c r="O23" s="16">
        <f t="shared" si="2"/>
        <v>0</v>
      </c>
      <c r="P23" s="16">
        <f t="shared" si="0"/>
        <v>0</v>
      </c>
    </row>
    <row r="24" spans="3:16" ht="16.5" thickTop="1" thickBot="1" x14ac:dyDescent="0.3">
      <c r="C24" s="2" t="s">
        <v>20</v>
      </c>
      <c r="D24" s="16">
        <f t="shared" si="2"/>
        <v>0</v>
      </c>
      <c r="E24" s="16">
        <f t="shared" si="2"/>
        <v>0</v>
      </c>
      <c r="F24" s="16">
        <f t="shared" si="2"/>
        <v>0</v>
      </c>
      <c r="G24" s="16">
        <f t="shared" si="2"/>
        <v>0</v>
      </c>
      <c r="H24" s="16">
        <f t="shared" si="2"/>
        <v>0</v>
      </c>
      <c r="I24" s="16">
        <f t="shared" si="2"/>
        <v>0</v>
      </c>
      <c r="J24" s="16">
        <f t="shared" si="2"/>
        <v>0</v>
      </c>
      <c r="K24" s="16">
        <f t="shared" si="2"/>
        <v>0</v>
      </c>
      <c r="L24" s="16">
        <f t="shared" si="2"/>
        <v>0</v>
      </c>
      <c r="M24" s="16">
        <f t="shared" si="2"/>
        <v>0</v>
      </c>
      <c r="N24" s="16">
        <f t="shared" si="2"/>
        <v>0</v>
      </c>
      <c r="O24" s="16">
        <f t="shared" si="2"/>
        <v>0</v>
      </c>
      <c r="P24" s="16">
        <f t="shared" si="0"/>
        <v>0</v>
      </c>
    </row>
    <row r="25" spans="3:16" ht="16.5" thickTop="1" thickBot="1" x14ac:dyDescent="0.3">
      <c r="C25" s="2" t="s">
        <v>21</v>
      </c>
      <c r="D25" s="16">
        <f t="shared" si="2"/>
        <v>0</v>
      </c>
      <c r="E25" s="16">
        <f t="shared" si="2"/>
        <v>0</v>
      </c>
      <c r="F25" s="16">
        <f t="shared" si="2"/>
        <v>0</v>
      </c>
      <c r="G25" s="16">
        <f t="shared" si="2"/>
        <v>0</v>
      </c>
      <c r="H25" s="16">
        <f t="shared" si="2"/>
        <v>0</v>
      </c>
      <c r="I25" s="16">
        <f t="shared" si="2"/>
        <v>0</v>
      </c>
      <c r="J25" s="16">
        <f t="shared" si="2"/>
        <v>0</v>
      </c>
      <c r="K25" s="16">
        <f t="shared" si="2"/>
        <v>0</v>
      </c>
      <c r="L25" s="16">
        <f t="shared" si="2"/>
        <v>0</v>
      </c>
      <c r="M25" s="16">
        <f t="shared" si="2"/>
        <v>0</v>
      </c>
      <c r="N25" s="16">
        <f t="shared" si="2"/>
        <v>0</v>
      </c>
      <c r="O25" s="16">
        <f t="shared" si="2"/>
        <v>0</v>
      </c>
      <c r="P25" s="16">
        <f t="shared" si="0"/>
        <v>0</v>
      </c>
    </row>
    <row r="26" spans="3:16" ht="16.5" thickTop="1" thickBot="1" x14ac:dyDescent="0.3">
      <c r="C26" s="2" t="s">
        <v>22</v>
      </c>
      <c r="D26" s="16">
        <f t="shared" si="2"/>
        <v>0</v>
      </c>
      <c r="E26" s="16">
        <f t="shared" si="2"/>
        <v>0</v>
      </c>
      <c r="F26" s="16">
        <f t="shared" si="2"/>
        <v>0</v>
      </c>
      <c r="G26" s="16">
        <f t="shared" si="2"/>
        <v>0</v>
      </c>
      <c r="H26" s="16">
        <f t="shared" si="2"/>
        <v>0</v>
      </c>
      <c r="I26" s="16">
        <f t="shared" si="2"/>
        <v>0</v>
      </c>
      <c r="J26" s="16">
        <f t="shared" si="2"/>
        <v>0</v>
      </c>
      <c r="K26" s="16">
        <f t="shared" si="2"/>
        <v>0</v>
      </c>
      <c r="L26" s="16">
        <f t="shared" si="2"/>
        <v>0</v>
      </c>
      <c r="M26" s="16">
        <f t="shared" si="2"/>
        <v>0</v>
      </c>
      <c r="N26" s="16">
        <f t="shared" si="2"/>
        <v>0</v>
      </c>
      <c r="O26" s="16">
        <f t="shared" si="2"/>
        <v>0</v>
      </c>
      <c r="P26" s="16">
        <f t="shared" si="0"/>
        <v>0</v>
      </c>
    </row>
    <row r="27" spans="3:16" ht="16.5" thickTop="1" thickBot="1" x14ac:dyDescent="0.3">
      <c r="C27" s="2" t="s">
        <v>23</v>
      </c>
      <c r="D27" s="16">
        <f t="shared" si="2"/>
        <v>0</v>
      </c>
      <c r="E27" s="16">
        <f t="shared" si="2"/>
        <v>0</v>
      </c>
      <c r="F27" s="16">
        <f t="shared" si="2"/>
        <v>0</v>
      </c>
      <c r="G27" s="16">
        <f t="shared" si="2"/>
        <v>0</v>
      </c>
      <c r="H27" s="16">
        <f t="shared" si="2"/>
        <v>0</v>
      </c>
      <c r="I27" s="16">
        <f t="shared" si="2"/>
        <v>0</v>
      </c>
      <c r="J27" s="16">
        <f t="shared" si="2"/>
        <v>0</v>
      </c>
      <c r="K27" s="16">
        <f t="shared" si="2"/>
        <v>0</v>
      </c>
      <c r="L27" s="16">
        <f t="shared" si="2"/>
        <v>0</v>
      </c>
      <c r="M27" s="16">
        <f t="shared" si="2"/>
        <v>0</v>
      </c>
      <c r="N27" s="16">
        <f t="shared" si="2"/>
        <v>0</v>
      </c>
      <c r="O27" s="16">
        <f t="shared" si="2"/>
        <v>0</v>
      </c>
      <c r="P27" s="16">
        <f t="shared" si="0"/>
        <v>0</v>
      </c>
    </row>
    <row r="28" spans="3:16" ht="16.5" thickTop="1" thickBot="1" x14ac:dyDescent="0.3">
      <c r="C28" s="2" t="s">
        <v>62</v>
      </c>
      <c r="D28" s="16">
        <f t="shared" ref="D28:O28" si="3">SUM(D13:D27)</f>
        <v>2530</v>
      </c>
      <c r="E28" s="16">
        <f t="shared" si="3"/>
        <v>3262</v>
      </c>
      <c r="F28" s="16">
        <f t="shared" si="3"/>
        <v>2946</v>
      </c>
      <c r="G28" s="16">
        <f t="shared" si="3"/>
        <v>688</v>
      </c>
      <c r="H28" s="16">
        <f t="shared" si="3"/>
        <v>577</v>
      </c>
      <c r="I28" s="16">
        <f t="shared" si="3"/>
        <v>3720</v>
      </c>
      <c r="J28" s="16">
        <f t="shared" si="3"/>
        <v>2323</v>
      </c>
      <c r="K28" s="16">
        <f t="shared" si="3"/>
        <v>2700</v>
      </c>
      <c r="L28" s="16">
        <f t="shared" si="3"/>
        <v>792</v>
      </c>
      <c r="M28" s="16">
        <f t="shared" si="3"/>
        <v>939</v>
      </c>
      <c r="N28" s="16">
        <f t="shared" si="3"/>
        <v>2182</v>
      </c>
      <c r="O28" s="16">
        <f t="shared" si="3"/>
        <v>0</v>
      </c>
      <c r="P28" s="16">
        <f t="shared" si="0"/>
        <v>22659</v>
      </c>
    </row>
    <row r="29" spans="3:16" ht="15.75" thickTop="1" thickBot="1" x14ac:dyDescent="0.25">
      <c r="C29" s="1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</row>
    <row r="30" spans="3:16" ht="15" thickTop="1" x14ac:dyDescent="0.2"/>
  </sheetData>
  <mergeCells count="2">
    <mergeCell ref="C2:H2"/>
    <mergeCell ref="I2:P2"/>
  </mergeCells>
  <pageMargins left="0.511811024" right="0.511811024" top="0.78740157499999996" bottom="0.78740157499999996" header="0.31496062000000002" footer="0.31496062000000002"/>
  <pageSetup paperSize="9" scale="52" orientation="portrait" horizontalDpi="4294967292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81BD"/>
  </sheetPr>
  <dimension ref="C1:P30"/>
  <sheetViews>
    <sheetView showGridLines="0" showRowColHeaders="0" zoomScale="160" zoomScaleNormal="160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C11" sqref="C11"/>
    </sheetView>
  </sheetViews>
  <sheetFormatPr defaultRowHeight="14.25" x14ac:dyDescent="0.2"/>
  <cols>
    <col min="1" max="1" width="25.7109375" style="7" customWidth="1"/>
    <col min="2" max="2" width="1.7109375" style="7" customWidth="1"/>
    <col min="3" max="3" width="32.85546875" style="7" customWidth="1"/>
    <col min="4" max="4" width="15.42578125" style="7" customWidth="1"/>
    <col min="5" max="16384" width="9.140625" style="7"/>
  </cols>
  <sheetData>
    <row r="1" spans="3:16" ht="9.9499999999999993" customHeight="1" x14ac:dyDescent="0.2"/>
    <row r="2" spans="3:16" ht="14.25" customHeight="1" x14ac:dyDescent="0.25">
      <c r="C2" s="32" t="s">
        <v>124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11"/>
      <c r="O2" s="11"/>
      <c r="P2" s="11"/>
    </row>
    <row r="3" spans="3:16" ht="9.9499999999999993" customHeight="1" x14ac:dyDescent="0.2"/>
    <row r="4" spans="3:16" ht="15.75" thickBot="1" x14ac:dyDescent="0.3">
      <c r="C4" s="2" t="s">
        <v>125</v>
      </c>
      <c r="D4" s="2" t="s">
        <v>126</v>
      </c>
      <c r="E4"/>
      <c r="F4"/>
      <c r="G4"/>
      <c r="H4"/>
      <c r="I4"/>
      <c r="J4"/>
      <c r="K4"/>
      <c r="L4"/>
      <c r="M4"/>
      <c r="N4"/>
      <c r="O4"/>
      <c r="P4"/>
    </row>
    <row r="5" spans="3:16" ht="16.5" thickTop="1" thickBot="1" x14ac:dyDescent="0.3">
      <c r="C5" s="25" t="s">
        <v>127</v>
      </c>
      <c r="D5" s="28">
        <v>30000</v>
      </c>
      <c r="E5"/>
      <c r="F5"/>
      <c r="G5"/>
      <c r="H5"/>
      <c r="I5"/>
      <c r="J5"/>
      <c r="K5"/>
      <c r="L5"/>
      <c r="M5"/>
      <c r="N5"/>
      <c r="O5"/>
      <c r="P5"/>
    </row>
    <row r="6" spans="3:16" ht="16.5" thickTop="1" thickBot="1" x14ac:dyDescent="0.3">
      <c r="C6" s="25" t="s">
        <v>128</v>
      </c>
      <c r="D6" s="29">
        <v>1.4999999999999999E-2</v>
      </c>
      <c r="E6"/>
      <c r="F6"/>
      <c r="G6"/>
      <c r="H6"/>
      <c r="I6"/>
      <c r="J6"/>
      <c r="K6"/>
      <c r="L6"/>
      <c r="M6"/>
      <c r="N6"/>
      <c r="O6"/>
      <c r="P6"/>
    </row>
    <row r="7" spans="3:16" ht="16.5" thickTop="1" thickBot="1" x14ac:dyDescent="0.3">
      <c r="C7" s="25" t="s">
        <v>129</v>
      </c>
      <c r="D7" s="30">
        <v>24</v>
      </c>
      <c r="E7"/>
      <c r="F7"/>
      <c r="G7"/>
      <c r="H7"/>
      <c r="I7"/>
      <c r="J7"/>
      <c r="K7"/>
      <c r="L7"/>
      <c r="M7"/>
      <c r="N7"/>
      <c r="O7"/>
      <c r="P7"/>
    </row>
    <row r="8" spans="3:16" ht="16.5" thickTop="1" thickBot="1" x14ac:dyDescent="0.3">
      <c r="C8" s="26" t="s">
        <v>130</v>
      </c>
      <c r="D8" s="16">
        <f>PMT(D6,D7,D5)</f>
        <v>-1497.7230590852616</v>
      </c>
      <c r="E8"/>
      <c r="F8"/>
      <c r="G8"/>
      <c r="H8"/>
      <c r="I8"/>
      <c r="J8"/>
      <c r="K8"/>
      <c r="L8"/>
      <c r="M8"/>
      <c r="N8"/>
      <c r="O8"/>
      <c r="P8"/>
    </row>
    <row r="9" spans="3:16" ht="16.5" thickTop="1" thickBot="1" x14ac:dyDescent="0.3">
      <c r="C9" s="26" t="s">
        <v>131</v>
      </c>
      <c r="D9" s="16">
        <f>D8*-1*D7</f>
        <v>35945.353418046281</v>
      </c>
      <c r="E9"/>
      <c r="F9"/>
      <c r="G9"/>
      <c r="H9"/>
      <c r="I9"/>
      <c r="J9"/>
      <c r="K9"/>
      <c r="L9"/>
      <c r="M9"/>
      <c r="N9"/>
      <c r="O9"/>
      <c r="P9"/>
    </row>
    <row r="10" spans="3:16" ht="15" x14ac:dyDescent="0.25">
      <c r="C10"/>
      <c r="D10"/>
      <c r="E10"/>
      <c r="F10"/>
      <c r="G10"/>
      <c r="H10"/>
      <c r="I10"/>
      <c r="J10"/>
      <c r="K10"/>
      <c r="L10"/>
      <c r="M10"/>
      <c r="N10"/>
      <c r="O10"/>
      <c r="P10"/>
    </row>
    <row r="11" spans="3:16" ht="15" x14ac:dyDescent="0.25">
      <c r="C11"/>
      <c r="D11"/>
      <c r="E11"/>
      <c r="F11"/>
      <c r="G11"/>
      <c r="H11"/>
      <c r="I11"/>
      <c r="J11"/>
      <c r="K11"/>
      <c r="L11"/>
      <c r="M11"/>
      <c r="N11"/>
      <c r="O11"/>
      <c r="P11"/>
    </row>
    <row r="12" spans="3:16" ht="15" x14ac:dyDescent="0.25">
      <c r="C12"/>
      <c r="D12"/>
      <c r="E12"/>
      <c r="F12"/>
      <c r="G12"/>
      <c r="H12"/>
      <c r="I12"/>
      <c r="J12"/>
      <c r="K12"/>
      <c r="L12"/>
      <c r="M12"/>
      <c r="N12"/>
      <c r="O12"/>
      <c r="P12"/>
    </row>
    <row r="13" spans="3:16" ht="15" x14ac:dyDescent="0.25">
      <c r="C13"/>
      <c r="D13"/>
      <c r="E13"/>
      <c r="F13"/>
      <c r="G13"/>
      <c r="H13"/>
      <c r="I13"/>
      <c r="J13"/>
      <c r="K13"/>
      <c r="L13"/>
      <c r="M13"/>
      <c r="N13"/>
      <c r="O13"/>
      <c r="P13"/>
    </row>
    <row r="14" spans="3:16" ht="15" x14ac:dyDescent="0.25">
      <c r="C14"/>
      <c r="D14"/>
      <c r="E14"/>
      <c r="F14"/>
      <c r="G14"/>
      <c r="H14"/>
      <c r="I14"/>
      <c r="J14"/>
      <c r="K14"/>
      <c r="L14"/>
      <c r="M14"/>
      <c r="N14"/>
      <c r="O14"/>
      <c r="P14"/>
    </row>
    <row r="15" spans="3:16" ht="15" x14ac:dyDescent="0.25"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3:16" ht="15" x14ac:dyDescent="0.25"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3:16" ht="15" x14ac:dyDescent="0.25"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3:16" ht="15" x14ac:dyDescent="0.25"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3:16" ht="15" x14ac:dyDescent="0.25"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3:16" ht="15" x14ac:dyDescent="0.25"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3:16" ht="15" x14ac:dyDescent="0.25"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3:16" ht="15" x14ac:dyDescent="0.25"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3:16" ht="15" x14ac:dyDescent="0.25"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3:16" ht="15" x14ac:dyDescent="0.25"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3:16" ht="15" x14ac:dyDescent="0.25"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3:16" ht="15" x14ac:dyDescent="0.25"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3:16" ht="15" x14ac:dyDescent="0.25"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3:16" ht="15" x14ac:dyDescent="0.25"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3:16" ht="15" x14ac:dyDescent="0.25">
      <c r="E29"/>
      <c r="F29"/>
      <c r="G29"/>
      <c r="H29"/>
      <c r="I29"/>
      <c r="J29"/>
      <c r="K29"/>
      <c r="L29"/>
      <c r="M29"/>
      <c r="N29"/>
      <c r="O29"/>
      <c r="P29"/>
    </row>
    <row r="30" spans="3:16" ht="15" x14ac:dyDescent="0.25">
      <c r="E30"/>
      <c r="F30"/>
      <c r="G30"/>
      <c r="H30"/>
      <c r="I30"/>
      <c r="J30"/>
      <c r="K30"/>
      <c r="L30"/>
      <c r="M30"/>
      <c r="N30"/>
      <c r="O30"/>
      <c r="P30"/>
    </row>
  </sheetData>
  <mergeCells count="2">
    <mergeCell ref="C2:H2"/>
    <mergeCell ref="I2:M2"/>
  </mergeCells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4</vt:i4>
      </vt:variant>
    </vt:vector>
  </HeadingPairs>
  <TitlesOfParts>
    <vt:vector size="10" baseType="lpstr">
      <vt:lpstr>PAINEL PRINCIPAL</vt:lpstr>
      <vt:lpstr>Dados</vt:lpstr>
      <vt:lpstr>Contas a Receber</vt:lpstr>
      <vt:lpstr>Contas a Pagar</vt:lpstr>
      <vt:lpstr>GRÁFICOS</vt:lpstr>
      <vt:lpstr>Calcula Financiamento</vt:lpstr>
      <vt:lpstr>confirmacao_cp</vt:lpstr>
      <vt:lpstr>mes_cp</vt:lpstr>
      <vt:lpstr>plano_cp</vt:lpstr>
      <vt:lpstr>valor_cp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2017-07-25T14:32:46Z</dcterms:modified>
</cp:coreProperties>
</file>