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xWindow="0" yWindow="0" windowWidth="15360" windowHeight="7260" tabRatio="813"/>
  </bookViews>
  <sheets>
    <sheet name="PAINEL PRINCIPAL" sheetId="3" r:id="rId1"/>
    <sheet name="Configurações" sheetId="2" r:id="rId2"/>
    <sheet name="Contas a Receber" sheetId="4" r:id="rId3"/>
    <sheet name="Contas a Pagar" sheetId="5" r:id="rId4"/>
    <sheet name="GRÁFICOS" sheetId="6" r:id="rId5"/>
    <sheet name="Calcula Financiamento" sheetId="7" r:id="rId6"/>
  </sheets>
  <definedNames>
    <definedName name="_xlnm._FilterDatabase" localSheetId="2" hidden="1">'Contas a Receber'!$C$4:$O$30</definedName>
    <definedName name="confirmacao_cp">'Contas a Pagar'!$J$5:$J$30</definedName>
    <definedName name="mes_cp">'Contas a Pagar'!$L$5:$L$30</definedName>
    <definedName name="plano_cp">'Contas a Pagar'!$G$5:$G$30</definedName>
    <definedName name="valor_cp">'Contas a Pagar'!$I$5:$I$30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3" l="1"/>
  <c r="P9" i="3"/>
  <c r="P8" i="3"/>
  <c r="P7" i="3"/>
  <c r="P6" i="3"/>
  <c r="P5" i="3"/>
  <c r="D13" i="6"/>
  <c r="E14" i="6"/>
  <c r="F14" i="6"/>
  <c r="G14" i="6"/>
  <c r="H14" i="6"/>
  <c r="I14" i="6"/>
  <c r="J14" i="6"/>
  <c r="K14" i="6"/>
  <c r="L14" i="6"/>
  <c r="P14" i="6" s="1"/>
  <c r="M14" i="6"/>
  <c r="N14" i="6"/>
  <c r="O14" i="6"/>
  <c r="E15" i="6"/>
  <c r="E28" i="6" s="1"/>
  <c r="F15" i="6"/>
  <c r="G15" i="6"/>
  <c r="H15" i="6"/>
  <c r="I15" i="6"/>
  <c r="I28" i="6" s="1"/>
  <c r="J15" i="6"/>
  <c r="K15" i="6"/>
  <c r="L15" i="6"/>
  <c r="M15" i="6"/>
  <c r="M28" i="6" s="1"/>
  <c r="N15" i="6"/>
  <c r="O15" i="6"/>
  <c r="E16" i="6"/>
  <c r="F16" i="6"/>
  <c r="G16" i="6"/>
  <c r="H16" i="6"/>
  <c r="I16" i="6"/>
  <c r="J16" i="6"/>
  <c r="K16" i="6"/>
  <c r="L16" i="6"/>
  <c r="M16" i="6"/>
  <c r="N16" i="6"/>
  <c r="N28" i="6" s="1"/>
  <c r="O16" i="6"/>
  <c r="E17" i="6"/>
  <c r="F17" i="6"/>
  <c r="G17" i="6"/>
  <c r="H17" i="6"/>
  <c r="I17" i="6"/>
  <c r="J17" i="6"/>
  <c r="K17" i="6"/>
  <c r="K28" i="6" s="1"/>
  <c r="L17" i="6"/>
  <c r="M17" i="6"/>
  <c r="N17" i="6"/>
  <c r="O17" i="6"/>
  <c r="O28" i="6" s="1"/>
  <c r="E18" i="6"/>
  <c r="F18" i="6"/>
  <c r="G18" i="6"/>
  <c r="H18" i="6"/>
  <c r="I18" i="6"/>
  <c r="J18" i="6"/>
  <c r="K18" i="6"/>
  <c r="L18" i="6"/>
  <c r="M18" i="6"/>
  <c r="N18" i="6"/>
  <c r="O18" i="6"/>
  <c r="E19" i="6"/>
  <c r="F19" i="6"/>
  <c r="G19" i="6"/>
  <c r="H19" i="6"/>
  <c r="I19" i="6"/>
  <c r="J19" i="6"/>
  <c r="K19" i="6"/>
  <c r="L19" i="6"/>
  <c r="M19" i="6"/>
  <c r="N19" i="6"/>
  <c r="O19" i="6"/>
  <c r="E20" i="6"/>
  <c r="F20" i="6"/>
  <c r="G20" i="6"/>
  <c r="H20" i="6"/>
  <c r="I20" i="6"/>
  <c r="J20" i="6"/>
  <c r="K20" i="6"/>
  <c r="L20" i="6"/>
  <c r="M20" i="6"/>
  <c r="N20" i="6"/>
  <c r="O20" i="6"/>
  <c r="E21" i="6"/>
  <c r="F21" i="6"/>
  <c r="G21" i="6"/>
  <c r="H21" i="6"/>
  <c r="I21" i="6"/>
  <c r="J21" i="6"/>
  <c r="K21" i="6"/>
  <c r="L21" i="6"/>
  <c r="M21" i="6"/>
  <c r="N21" i="6"/>
  <c r="O21" i="6"/>
  <c r="E22" i="6"/>
  <c r="F22" i="6"/>
  <c r="G22" i="6"/>
  <c r="H22" i="6"/>
  <c r="P22" i="6" s="1"/>
  <c r="I22" i="6"/>
  <c r="J22" i="6"/>
  <c r="K22" i="6"/>
  <c r="L22" i="6"/>
  <c r="M22" i="6"/>
  <c r="N22" i="6"/>
  <c r="O22" i="6"/>
  <c r="E23" i="6"/>
  <c r="P23" i="6" s="1"/>
  <c r="F23" i="6"/>
  <c r="G23" i="6"/>
  <c r="H23" i="6"/>
  <c r="I23" i="6"/>
  <c r="J23" i="6"/>
  <c r="K23" i="6"/>
  <c r="L23" i="6"/>
  <c r="M23" i="6"/>
  <c r="N23" i="6"/>
  <c r="O23" i="6"/>
  <c r="E24" i="6"/>
  <c r="F24" i="6"/>
  <c r="G24" i="6"/>
  <c r="H24" i="6"/>
  <c r="I24" i="6"/>
  <c r="J24" i="6"/>
  <c r="K24" i="6"/>
  <c r="L24" i="6"/>
  <c r="M24" i="6"/>
  <c r="N24" i="6"/>
  <c r="O24" i="6"/>
  <c r="E25" i="6"/>
  <c r="F25" i="6"/>
  <c r="G25" i="6"/>
  <c r="H25" i="6"/>
  <c r="I25" i="6"/>
  <c r="J25" i="6"/>
  <c r="K25" i="6"/>
  <c r="L25" i="6"/>
  <c r="M25" i="6"/>
  <c r="N25" i="6"/>
  <c r="O25" i="6"/>
  <c r="E26" i="6"/>
  <c r="F26" i="6"/>
  <c r="G26" i="6"/>
  <c r="H26" i="6"/>
  <c r="P26" i="6" s="1"/>
  <c r="I26" i="6"/>
  <c r="J26" i="6"/>
  <c r="K26" i="6"/>
  <c r="L26" i="6"/>
  <c r="M26" i="6"/>
  <c r="N26" i="6"/>
  <c r="O26" i="6"/>
  <c r="E27" i="6"/>
  <c r="P27" i="6" s="1"/>
  <c r="F27" i="6"/>
  <c r="G27" i="6"/>
  <c r="H27" i="6"/>
  <c r="I27" i="6"/>
  <c r="J27" i="6"/>
  <c r="K27" i="6"/>
  <c r="L27" i="6"/>
  <c r="M27" i="6"/>
  <c r="N27" i="6"/>
  <c r="O27" i="6"/>
  <c r="E13" i="6"/>
  <c r="F13" i="6"/>
  <c r="G13" i="6"/>
  <c r="H13" i="6"/>
  <c r="I13" i="6"/>
  <c r="J13" i="6"/>
  <c r="K13" i="6"/>
  <c r="L13" i="6"/>
  <c r="M13" i="6"/>
  <c r="N13" i="6"/>
  <c r="O13" i="6"/>
  <c r="J28" i="6"/>
  <c r="P19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11" i="6"/>
  <c r="D12" i="6" s="1"/>
  <c r="G28" i="6"/>
  <c r="E12" i="6"/>
  <c r="F12" i="6"/>
  <c r="G12" i="6"/>
  <c r="H12" i="6"/>
  <c r="I12" i="6"/>
  <c r="J12" i="6"/>
  <c r="K12" i="6"/>
  <c r="L12" i="6"/>
  <c r="M12" i="6"/>
  <c r="N12" i="6"/>
  <c r="O12" i="6"/>
  <c r="P7" i="6"/>
  <c r="P8" i="6"/>
  <c r="P9" i="6"/>
  <c r="P10" i="6"/>
  <c r="P6" i="6"/>
  <c r="D6" i="6"/>
  <c r="E6" i="6"/>
  <c r="F6" i="6"/>
  <c r="G6" i="6"/>
  <c r="H6" i="6"/>
  <c r="I6" i="6"/>
  <c r="J6" i="6"/>
  <c r="K6" i="6"/>
  <c r="L6" i="6"/>
  <c r="M6" i="6"/>
  <c r="N6" i="6"/>
  <c r="O6" i="6"/>
  <c r="E7" i="6"/>
  <c r="F7" i="6"/>
  <c r="G7" i="6"/>
  <c r="H7" i="6"/>
  <c r="I7" i="6"/>
  <c r="J7" i="6"/>
  <c r="K7" i="6"/>
  <c r="L7" i="6"/>
  <c r="M7" i="6"/>
  <c r="N7" i="6"/>
  <c r="O7" i="6"/>
  <c r="E8" i="6"/>
  <c r="F8" i="6"/>
  <c r="G8" i="6"/>
  <c r="H8" i="6"/>
  <c r="I8" i="6"/>
  <c r="J8" i="6"/>
  <c r="K8" i="6"/>
  <c r="L8" i="6"/>
  <c r="M8" i="6"/>
  <c r="N8" i="6"/>
  <c r="O8" i="6"/>
  <c r="E9" i="6"/>
  <c r="F9" i="6"/>
  <c r="G9" i="6"/>
  <c r="H9" i="6"/>
  <c r="I9" i="6"/>
  <c r="J9" i="6"/>
  <c r="K9" i="6"/>
  <c r="L9" i="6"/>
  <c r="M9" i="6"/>
  <c r="N9" i="6"/>
  <c r="O9" i="6"/>
  <c r="E10" i="6"/>
  <c r="F10" i="6"/>
  <c r="G10" i="6"/>
  <c r="H10" i="6"/>
  <c r="I10" i="6"/>
  <c r="J10" i="6"/>
  <c r="K10" i="6"/>
  <c r="L10" i="6"/>
  <c r="M10" i="6"/>
  <c r="N10" i="6"/>
  <c r="O10" i="6"/>
  <c r="E11" i="6"/>
  <c r="F11" i="6"/>
  <c r="G11" i="6"/>
  <c r="H11" i="6"/>
  <c r="I11" i="6"/>
  <c r="J11" i="6"/>
  <c r="K11" i="6"/>
  <c r="L11" i="6"/>
  <c r="M11" i="6"/>
  <c r="N11" i="6"/>
  <c r="O11" i="6"/>
  <c r="D7" i="6"/>
  <c r="D8" i="6"/>
  <c r="D9" i="6"/>
  <c r="D10" i="6"/>
  <c r="Q6" i="3"/>
  <c r="Q10" i="3"/>
  <c r="Q7" i="3"/>
  <c r="Q8" i="3"/>
  <c r="Q9" i="3"/>
  <c r="Q5" i="3"/>
  <c r="P15" i="6" l="1"/>
  <c r="P16" i="6"/>
  <c r="L28" i="6"/>
  <c r="H28" i="6"/>
  <c r="P24" i="6"/>
  <c r="P20" i="6"/>
  <c r="F28" i="6"/>
  <c r="P18" i="6"/>
  <c r="P25" i="6"/>
  <c r="P21" i="6"/>
  <c r="P17" i="6"/>
  <c r="D28" i="6"/>
  <c r="P13" i="6"/>
  <c r="P11" i="6"/>
  <c r="P12" i="6" s="1"/>
  <c r="D8" i="7"/>
  <c r="D9" i="7" s="1"/>
  <c r="O30" i="4"/>
  <c r="N5" i="5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K8" i="4"/>
  <c r="O8" i="4" s="1"/>
  <c r="K9" i="4"/>
  <c r="O9" i="4" s="1"/>
  <c r="K10" i="4"/>
  <c r="O10" i="4" s="1"/>
  <c r="K11" i="4"/>
  <c r="O11" i="4" s="1"/>
  <c r="K12" i="4"/>
  <c r="O12" i="4" s="1"/>
  <c r="K13" i="4"/>
  <c r="O13" i="4" s="1"/>
  <c r="K14" i="4"/>
  <c r="O14" i="4" s="1"/>
  <c r="K15" i="4"/>
  <c r="O15" i="4" s="1"/>
  <c r="K16" i="4"/>
  <c r="O16" i="4" s="1"/>
  <c r="K17" i="4"/>
  <c r="O17" i="4" s="1"/>
  <c r="K18" i="4"/>
  <c r="O18" i="4" s="1"/>
  <c r="K19" i="4"/>
  <c r="O19" i="4" s="1"/>
  <c r="K20" i="4"/>
  <c r="O20" i="4" s="1"/>
  <c r="K21" i="4"/>
  <c r="O21" i="4" s="1"/>
  <c r="K22" i="4"/>
  <c r="O22" i="4" s="1"/>
  <c r="K23" i="4"/>
  <c r="O23" i="4" s="1"/>
  <c r="K24" i="4"/>
  <c r="O24" i="4" s="1"/>
  <c r="K25" i="4"/>
  <c r="O25" i="4" s="1"/>
  <c r="K26" i="4"/>
  <c r="O26" i="4" s="1"/>
  <c r="K27" i="4"/>
  <c r="O27" i="4" s="1"/>
  <c r="K28" i="4"/>
  <c r="O28" i="4" s="1"/>
  <c r="K29" i="4"/>
  <c r="O29" i="4" s="1"/>
  <c r="K30" i="4"/>
  <c r="K7" i="4"/>
  <c r="O7" i="4" s="1"/>
  <c r="K6" i="4"/>
  <c r="O6" i="4" s="1"/>
  <c r="K5" i="4"/>
  <c r="O5" i="4" s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5" i="4"/>
  <c r="P28" i="6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5" i="5"/>
  <c r="J6" i="5"/>
  <c r="J7" i="5"/>
  <c r="N7" i="5" s="1"/>
  <c r="J8" i="5"/>
  <c r="J9" i="5"/>
  <c r="N9" i="5" s="1"/>
  <c r="J10" i="5"/>
  <c r="J11" i="5"/>
  <c r="J12" i="5"/>
  <c r="J13" i="5"/>
  <c r="N13" i="5" s="1"/>
  <c r="J14" i="5"/>
  <c r="J15" i="5"/>
  <c r="J16" i="5"/>
  <c r="J17" i="5"/>
  <c r="J18" i="5"/>
  <c r="J19" i="5"/>
  <c r="N19" i="5" s="1"/>
  <c r="J20" i="5"/>
  <c r="J21" i="5"/>
  <c r="N21" i="5" s="1"/>
  <c r="J22" i="5"/>
  <c r="J23" i="5"/>
  <c r="N23" i="5" s="1"/>
  <c r="J24" i="5"/>
  <c r="J25" i="5"/>
  <c r="N25" i="5" s="1"/>
  <c r="J26" i="5"/>
  <c r="J27" i="5"/>
  <c r="N27" i="5" s="1"/>
  <c r="J28" i="5"/>
  <c r="J29" i="5"/>
  <c r="N29" i="5" s="1"/>
  <c r="J30" i="5"/>
  <c r="N17" i="5"/>
  <c r="J5" i="5"/>
  <c r="N30" i="5"/>
  <c r="N28" i="5"/>
  <c r="N26" i="5"/>
  <c r="N24" i="5"/>
  <c r="N22" i="5"/>
  <c r="N20" i="5"/>
  <c r="N18" i="5"/>
  <c r="N16" i="5"/>
  <c r="N15" i="5"/>
  <c r="N14" i="5"/>
  <c r="N12" i="5"/>
  <c r="N11" i="5"/>
  <c r="N10" i="5"/>
  <c r="N8" i="5"/>
  <c r="N6" i="5"/>
</calcChain>
</file>

<file path=xl/sharedStrings.xml><?xml version="1.0" encoding="utf-8"?>
<sst xmlns="http://schemas.openxmlformats.org/spreadsheetml/2006/main" count="495" uniqueCount="158">
  <si>
    <t>2 - CONFIGURAÇÕES</t>
  </si>
  <si>
    <t>1 - RECEITAS</t>
  </si>
  <si>
    <t>1.01 - ALUGUEIS ATIVO</t>
  </si>
  <si>
    <t>1.02 - DESCONTOS OBTIDOS</t>
  </si>
  <si>
    <t>1.03 - JUROS ATIVOS</t>
  </si>
  <si>
    <t>1.04 - RECEITAS EVENTUAIS</t>
  </si>
  <si>
    <t>1.05 - RECEITAS DE PRODUTOS</t>
  </si>
  <si>
    <t>1.06 - RECEITAS DE SERVIÇOS</t>
  </si>
  <si>
    <t>2.01 - AGUA E ESGOTO</t>
  </si>
  <si>
    <t>2.02 - ALUGUEIS PASSIVOS</t>
  </si>
  <si>
    <t>2.03 - CAFÉ E LANCHES</t>
  </si>
  <si>
    <t>2.04 - COMBUSTÍVEIS</t>
  </si>
  <si>
    <t>2.05 - DESCONTOS CONCEDIDOS</t>
  </si>
  <si>
    <t>2.06 - DESPESAS BANCARIAS</t>
  </si>
  <si>
    <t>2.07 - ENERGIA ELÉTRICA</t>
  </si>
  <si>
    <t>2.08 - FRETES E CARRETOS</t>
  </si>
  <si>
    <t>2.09 - IMPOSTOS E TAXAS</t>
  </si>
  <si>
    <t>2.10 - JUROS PASSIVOS</t>
  </si>
  <si>
    <t>2.11 - MATERIAL DE EXPEDIENTE</t>
  </si>
  <si>
    <t>2.12 - MATERIAL DE LIMPEZA</t>
  </si>
  <si>
    <t>2.13 - SERVIÇOS TERCEIROS</t>
  </si>
  <si>
    <t>2.14 - TELEFONES</t>
  </si>
  <si>
    <t>2.15 - DESPESAS EVENTUAIS</t>
  </si>
  <si>
    <t>2 - DESPESAS</t>
  </si>
  <si>
    <t>BANCO</t>
  </si>
  <si>
    <t>ITAU</t>
  </si>
  <si>
    <t>BRASIL</t>
  </si>
  <si>
    <t>BRADESCO</t>
  </si>
  <si>
    <t>SANTANDER</t>
  </si>
  <si>
    <t>CITY BANK</t>
  </si>
  <si>
    <t>CAIXINHA</t>
  </si>
  <si>
    <t>Forma de Pag/Rec</t>
  </si>
  <si>
    <t>DINHEIRO</t>
  </si>
  <si>
    <t>CHEQUE</t>
  </si>
  <si>
    <t>CARTÃO DE CRÉDITO</t>
  </si>
  <si>
    <t>CARTÃO DÉBITO</t>
  </si>
  <si>
    <t>DEPOSITO BANCÁRIO</t>
  </si>
  <si>
    <t>VALE REFEIÇÃO</t>
  </si>
  <si>
    <t>PRODUTOS</t>
  </si>
  <si>
    <t>SALADA DE QUINOA</t>
  </si>
  <si>
    <t>FRANGO ASSADO</t>
  </si>
  <si>
    <t>PARMEGIANA</t>
  </si>
  <si>
    <t>LASANHA</t>
  </si>
  <si>
    <t>BUCHADA</t>
  </si>
  <si>
    <t>FEIJOADA</t>
  </si>
  <si>
    <t>SUCO</t>
  </si>
  <si>
    <t>CHANDON</t>
  </si>
  <si>
    <t>ASKOV</t>
  </si>
  <si>
    <t>LAMBRUSCO</t>
  </si>
  <si>
    <t>REFRIGERANTE</t>
  </si>
  <si>
    <t>1 - PAINEL PRINCIPAL</t>
  </si>
  <si>
    <t>ANO BASE 2017</t>
  </si>
  <si>
    <t>TOTAL PAGO</t>
  </si>
  <si>
    <t>TOTAL A PAGAR</t>
  </si>
  <si>
    <t>TOTAL RECEBIDO</t>
  </si>
  <si>
    <t>TOTAL A RECEBER</t>
  </si>
  <si>
    <t>LUCRO TOTAL</t>
  </si>
  <si>
    <t>3 - CONTAS A RECEBER</t>
  </si>
  <si>
    <t>Vencimento</t>
  </si>
  <si>
    <t>Documento</t>
  </si>
  <si>
    <t>Forma Pag/Rec</t>
  </si>
  <si>
    <t>Cliente</t>
  </si>
  <si>
    <t>Plano de Contas</t>
  </si>
  <si>
    <t>Descrição da Conta a Receber</t>
  </si>
  <si>
    <t>Valor</t>
  </si>
  <si>
    <t>Recebida? (S)</t>
  </si>
  <si>
    <t>Banco Recebimento</t>
  </si>
  <si>
    <t>MÊS</t>
  </si>
  <si>
    <t>Data Recebimento</t>
  </si>
  <si>
    <t>Status</t>
  </si>
  <si>
    <t>43</t>
  </si>
  <si>
    <t>ALUGUEIS</t>
  </si>
  <si>
    <t>67</t>
  </si>
  <si>
    <t>DESCONTOS</t>
  </si>
  <si>
    <t>098</t>
  </si>
  <si>
    <t>234</t>
  </si>
  <si>
    <t>345</t>
  </si>
  <si>
    <t>SANTADER</t>
  </si>
  <si>
    <t>456</t>
  </si>
  <si>
    <t>CARTÃO CRÉDITO</t>
  </si>
  <si>
    <t>565</t>
  </si>
  <si>
    <t>567</t>
  </si>
  <si>
    <t>678</t>
  </si>
  <si>
    <t>789</t>
  </si>
  <si>
    <t>876</t>
  </si>
  <si>
    <t>970</t>
  </si>
  <si>
    <t>987</t>
  </si>
  <si>
    <t>1234</t>
  </si>
  <si>
    <t>2234</t>
  </si>
  <si>
    <t>2342</t>
  </si>
  <si>
    <t>7656</t>
  </si>
  <si>
    <t>34234</t>
  </si>
  <si>
    <t>4 - CONTAS A PAGAR</t>
  </si>
  <si>
    <t>Fornecedor</t>
  </si>
  <si>
    <t>Descrição da Conta a Pagar</t>
  </si>
  <si>
    <t>Paga? (S)</t>
  </si>
  <si>
    <t>Banco</t>
  </si>
  <si>
    <t>Data Pagamento</t>
  </si>
  <si>
    <t>AGUA</t>
  </si>
  <si>
    <t>CAFÉ</t>
  </si>
  <si>
    <t>COMBUSTÍVEIS</t>
  </si>
  <si>
    <t>DESPESAS</t>
  </si>
  <si>
    <t>5 - GRÁFICOS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</si>
  <si>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</si>
  <si>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</si>
  <si>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</si>
  <si>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</si>
  <si>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</si>
  <si>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</si>
  <si>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</si>
  <si>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</si>
  <si>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</si>
  <si>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</si>
  <si>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</si>
  <si>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</si>
  <si>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</si>
  <si>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</si>
  <si>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</si>
  <si>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</si>
  <si>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</si>
  <si>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</si>
  <si>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</si>
  <si>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</si>
  <si>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</si>
  <si>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</si>
  <si>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</si>
  <si>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</si>
  <si>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</si>
  <si>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</si>
  <si>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6 - CALCULADORA DE FINANCIAMENTOS</t>
  </si>
  <si>
    <t>INFORMAÇÕES</t>
  </si>
  <si>
    <t>DADOS</t>
  </si>
  <si>
    <t>VALOR FINANCIADO</t>
  </si>
  <si>
    <t>TAXA MENSAL</t>
  </si>
  <si>
    <t>PARCELAS</t>
  </si>
  <si>
    <t>VALOR PARCELAS&gt;&gt;</t>
  </si>
  <si>
    <t>TOTAL DIVIDA&gt;&gt;</t>
  </si>
  <si>
    <t>ALEXIA</t>
  </si>
  <si>
    <t>AMANDA</t>
  </si>
  <si>
    <t>ANA CAROLINA</t>
  </si>
  <si>
    <t>ANDRE RICARDO</t>
  </si>
  <si>
    <t>CASSIANA</t>
  </si>
  <si>
    <t>FABIANA</t>
  </si>
  <si>
    <t>GEOVANA</t>
  </si>
  <si>
    <t>GUSTAVO BOTOSSI</t>
  </si>
  <si>
    <t>GUSTAVO KAUBATZ</t>
  </si>
  <si>
    <t>LAVINIA</t>
  </si>
  <si>
    <t>PATRICIA</t>
  </si>
  <si>
    <t>PAULO</t>
  </si>
  <si>
    <t>RAFEL</t>
  </si>
  <si>
    <t>RUBEN</t>
  </si>
  <si>
    <t>SAMARA</t>
  </si>
  <si>
    <t>SIMONE</t>
  </si>
  <si>
    <t>Produtos</t>
  </si>
  <si>
    <t>QTD PRODUTOS VENDIDOS</t>
  </si>
  <si>
    <t>Restaurante</t>
  </si>
  <si>
    <t>outros</t>
  </si>
  <si>
    <t>VENDAS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</si>
</sst>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&quot;R$&quot;\ #,##0.00"/>
    <numFmt numFmtId="166" formatCode="_-[$R$-416]\ * #,##0.00_-;\-[$R$-416]\ * #,##0.00_-;_-[$R$-416]\ * &quot;-&quot;??_-;_-@_-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41617"/>
        <bgColor indexed="64"/>
      </patternFill>
    </fill>
    <fill>
      <patternFill patternType="solid">
        <fgColor rgb="FFFFC20F"/>
        <bgColor indexed="64"/>
      </patternFill>
    </fill>
    <fill>
      <patternFill patternType="solid">
        <fgColor rgb="FFFFE9A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67A68"/>
        <bgColor indexed="64"/>
      </patternFill>
    </fill>
    <fill>
      <patternFill patternType="solid">
        <fgColor rgb="FFFFE18B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3">
    <xf numFmtId="0" fontId="0" fillId="0" borderId="0" xfId="0"/>
    <xf numFmtId="0" fontId="5" fillId="3" borderId="0" xfId="0" applyFont="1" applyFill="1"/>
    <xf numFmtId="0" fontId="0" fillId="0" borderId="0" xfId="0" applyAlignment="1">
      <alignment horizontal="center"/>
    </xf>
    <xf numFmtId="0" fontId="3" fillId="4" borderId="0" xfId="0" applyFont="1" applyFill="1"/>
    <xf numFmtId="0" fontId="3" fillId="4" borderId="1" xfId="0" applyFont="1" applyFill="1" applyBorder="1"/>
    <xf numFmtId="0" fontId="3" fillId="0" borderId="0" xfId="0" applyFont="1"/>
    <xf numFmtId="0" fontId="3" fillId="0" borderId="3" xfId="0" applyFont="1" applyBorder="1"/>
    <xf numFmtId="164" fontId="3" fillId="0" borderId="3" xfId="0" applyNumberFormat="1" applyFont="1" applyBorder="1"/>
    <xf numFmtId="0" fontId="3" fillId="5" borderId="0" xfId="0" applyFont="1" applyFill="1"/>
    <xf numFmtId="0" fontId="6" fillId="6" borderId="5" xfId="0" applyFont="1" applyFill="1" applyBorder="1" applyAlignment="1">
      <alignment horizontal="left" vertical="center" indent="1"/>
    </xf>
    <xf numFmtId="0" fontId="6" fillId="6" borderId="5" xfId="0" applyFont="1" applyFill="1" applyBorder="1" applyAlignment="1">
      <alignment horizontal="center" vertical="center"/>
    </xf>
    <xf numFmtId="0" fontId="5" fillId="3" borderId="7" xfId="0" applyFont="1" applyFill="1" applyBorder="1"/>
    <xf numFmtId="0" fontId="5" fillId="3" borderId="1" xfId="0" applyFont="1" applyFill="1" applyBorder="1"/>
    <xf numFmtId="0" fontId="5" fillId="3" borderId="8" xfId="0" applyFont="1" applyFill="1" applyBorder="1"/>
    <xf numFmtId="0" fontId="5" fillId="3" borderId="1" xfId="0" applyFont="1" applyFill="1" applyBorder="1" applyAlignment="1">
      <alignment horizontal="right"/>
    </xf>
    <xf numFmtId="0" fontId="3" fillId="3" borderId="1" xfId="0" applyFont="1" applyFill="1" applyBorder="1"/>
    <xf numFmtId="14" fontId="0" fillId="4" borderId="4" xfId="0" applyNumberFormat="1" applyFill="1" applyBorder="1"/>
    <xf numFmtId="49" fontId="0" fillId="4" borderId="4" xfId="0" applyNumberFormat="1" applyFill="1" applyBorder="1"/>
    <xf numFmtId="0" fontId="0" fillId="4" borderId="4" xfId="0" applyFill="1" applyBorder="1"/>
    <xf numFmtId="165" fontId="0" fillId="4" borderId="4" xfId="0" applyNumberFormat="1" applyFill="1" applyBorder="1"/>
    <xf numFmtId="164" fontId="7" fillId="4" borderId="5" xfId="0" applyNumberFormat="1" applyFont="1" applyFill="1" applyBorder="1" applyAlignment="1">
      <alignment horizontal="center" vertical="center"/>
    </xf>
    <xf numFmtId="165" fontId="0" fillId="4" borderId="4" xfId="0" quotePrefix="1" applyNumberFormat="1" applyFill="1" applyBorder="1"/>
    <xf numFmtId="0" fontId="2" fillId="0" borderId="3" xfId="0" applyFont="1" applyBorder="1"/>
    <xf numFmtId="166" fontId="3" fillId="4" borderId="1" xfId="1" applyNumberFormat="1" applyFont="1" applyFill="1" applyBorder="1"/>
    <xf numFmtId="0" fontId="4" fillId="6" borderId="5" xfId="0" applyFont="1" applyFill="1" applyBorder="1" applyAlignment="1">
      <alignment horizontal="left" vertical="center" indent="1"/>
    </xf>
    <xf numFmtId="0" fontId="9" fillId="6" borderId="5" xfId="0" applyFont="1" applyFill="1" applyBorder="1" applyAlignment="1">
      <alignment horizontal="left" vertical="center" indent="1"/>
    </xf>
    <xf numFmtId="0" fontId="5" fillId="7" borderId="1" xfId="0" applyFont="1" applyFill="1" applyBorder="1"/>
    <xf numFmtId="164" fontId="7" fillId="8" borderId="5" xfId="0" applyNumberFormat="1" applyFont="1" applyFill="1" applyBorder="1" applyAlignment="1">
      <alignment horizontal="center" vertical="center"/>
    </xf>
    <xf numFmtId="8" fontId="0" fillId="4" borderId="11" xfId="0" applyNumberFormat="1" applyFill="1" applyBorder="1"/>
    <xf numFmtId="8" fontId="0" fillId="4" borderId="10" xfId="0" applyNumberFormat="1" applyFill="1" applyBorder="1"/>
    <xf numFmtId="166" fontId="0" fillId="4" borderId="11" xfId="0" applyNumberFormat="1" applyFill="1" applyBorder="1" applyProtection="1">
      <protection locked="0"/>
    </xf>
    <xf numFmtId="167" fontId="0" fillId="4" borderId="11" xfId="2" applyNumberFormat="1" applyFont="1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3" fillId="4" borderId="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" fillId="0" borderId="3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E18B"/>
      <color rgb="FFB67A68"/>
      <color rgb="FF841617"/>
      <color rgb="FFFFD357"/>
      <color rgb="FFFFC20F"/>
      <color rgb="FFFFE9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</a:t>
            </a:r>
            <a:r>
              <a:rPr lang="pt-BR" baseline="0"/>
              <a:t>S X RECEITA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540822684702313E-2"/>
          <c:y val="1.4938011161909796E-2"/>
          <c:w val="0.95145917731529772"/>
          <c:h val="0.77382045819037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GRÁFICOS!$C$12</c:f>
              <c:strCache>
                <c:ptCount val="1"/>
                <c:pt idx="0">
                  <c:v>TOTAL RECEBIDO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GRÁFICOS!$D$12:$O$12</c:f>
              <c:numCache>
                <c:formatCode>"R$"\ #,##0</c:formatCode>
                <c:ptCount val="12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436</c:v>
                </c:pt>
                <c:pt idx="6">
                  <c:v>190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1-4588-ACA2-8C8134BEEBF4}"/>
            </c:ext>
          </c:extLst>
        </c:ser>
        <c:ser>
          <c:idx val="1"/>
          <c:order val="1"/>
          <c:tx>
            <c:strRef>
              <c:f>GRÁFICOS!$C$28</c:f>
              <c:strCache>
                <c:ptCount val="1"/>
                <c:pt idx="0">
                  <c:v>TOTAL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GRÁFICOS!$D$28:$O$28</c:f>
              <c:numCache>
                <c:formatCode>"R$"\ #,##0</c:formatCode>
                <c:ptCount val="12"/>
                <c:pt idx="0">
                  <c:v>86</c:v>
                </c:pt>
                <c:pt idx="1">
                  <c:v>110</c:v>
                </c:pt>
                <c:pt idx="2">
                  <c:v>112</c:v>
                </c:pt>
                <c:pt idx="3">
                  <c:v>24</c:v>
                </c:pt>
                <c:pt idx="4">
                  <c:v>33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1-4588-ACA2-8C8134BE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32280"/>
        <c:axId val="436435560"/>
      </c:barChart>
      <c:catAx>
        <c:axId val="4364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5560"/>
        <c:crosses val="autoZero"/>
        <c:auto val="1"/>
        <c:lblAlgn val="ctr"/>
        <c:lblOffset val="100"/>
        <c:noMultiLvlLbl val="0"/>
      </c:catAx>
      <c:valAx>
        <c:axId val="4364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GR&#193;FICOS!A1"/><Relationship Id="rId3" Type="http://schemas.openxmlformats.org/officeDocument/2006/relationships/image" Target="../media/image3.jpeg"/><Relationship Id="rId7" Type="http://schemas.openxmlformats.org/officeDocument/2006/relationships/hyperlink" Target="#'Contas a Pagar'!A1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hyperlink" Target="#'Contas a Receber'!A1"/><Relationship Id="rId5" Type="http://schemas.openxmlformats.org/officeDocument/2006/relationships/hyperlink" Target="#Configura&#231;&#245;es!A1"/><Relationship Id="rId4" Type="http://schemas.openxmlformats.org/officeDocument/2006/relationships/hyperlink" Target="#'PAINEL PRINCIP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figura&#231;&#245;es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GR&#193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Configura&#231;&#245;es!A1"/><Relationship Id="rId1" Type="http://schemas.openxmlformats.org/officeDocument/2006/relationships/hyperlink" Target="#'PAINEL PRINCIPAL'!A1"/><Relationship Id="rId6" Type="http://schemas.openxmlformats.org/officeDocument/2006/relationships/image" Target="../media/image3.jpeg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figura&#231;&#245;es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GR&#193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PAINEL PRINCIPAL'!A1"/><Relationship Id="rId7" Type="http://schemas.openxmlformats.org/officeDocument/2006/relationships/hyperlink" Target="#GR&#193;FICOS!A1"/><Relationship Id="rId2" Type="http://schemas.openxmlformats.org/officeDocument/2006/relationships/image" Target="../media/image4.jpeg"/><Relationship Id="rId1" Type="http://schemas.openxmlformats.org/officeDocument/2006/relationships/chart" Target="../charts/chart1.xml"/><Relationship Id="rId6" Type="http://schemas.openxmlformats.org/officeDocument/2006/relationships/hyperlink" Target="#'Contas a Pagar'!A1"/><Relationship Id="rId5" Type="http://schemas.openxmlformats.org/officeDocument/2006/relationships/hyperlink" Target="#'Contas a Receber'!A1"/><Relationship Id="rId4" Type="http://schemas.openxmlformats.org/officeDocument/2006/relationships/hyperlink" Target="#Configura&#231;&#245;es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'PAINEL PRINCIPAL'!A1"/><Relationship Id="rId7" Type="http://schemas.openxmlformats.org/officeDocument/2006/relationships/hyperlink" Target="#GR&#193;FICOS!A1"/><Relationship Id="rId2" Type="http://schemas.openxmlformats.org/officeDocument/2006/relationships/image" Target="../media/image3.jpeg"/><Relationship Id="rId1" Type="http://schemas.openxmlformats.org/officeDocument/2006/relationships/hyperlink" Target="https://support.office.com/pt-br/article/PGTO-Fun%C3%A7%C3%A3o-PGTO-0214da64-9a63-4996-bc20-214433fa6441" TargetMode="External"/><Relationship Id="rId6" Type="http://schemas.openxmlformats.org/officeDocument/2006/relationships/hyperlink" Target="#'Contas a Pagar'!A1"/><Relationship Id="rId5" Type="http://schemas.openxmlformats.org/officeDocument/2006/relationships/hyperlink" Target="#'Contas a Receber'!A1"/><Relationship Id="rId4" Type="http://schemas.openxmlformats.org/officeDocument/2006/relationships/hyperlink" Target="#Configura&#231;&#245;es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4</xdr:row>
      <xdr:rowOff>129733</xdr:rowOff>
    </xdr:from>
    <xdr:to>
      <xdr:col>10</xdr:col>
      <xdr:colOff>47626</xdr:colOff>
      <xdr:row>9</xdr:row>
      <xdr:rowOff>163286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6E9ABC3C-EF7F-4D0A-AA4A-E7BE8EA9FF66}"/>
            </a:ext>
          </a:extLst>
        </xdr:cNvPr>
        <xdr:cNvGrpSpPr/>
      </xdr:nvGrpSpPr>
      <xdr:grpSpPr>
        <a:xfrm>
          <a:off x="4120093" y="764733"/>
          <a:ext cx="2669116" cy="933136"/>
          <a:chOff x="7315201" y="2996758"/>
          <a:chExt cx="2647950" cy="938428"/>
        </a:xfrm>
      </xdr:grpSpPr>
      <xdr:pic>
        <xdr:nvPicPr>
          <xdr:cNvPr id="10" name="Imagem 30">
            <a:extLst>
              <a:ext uri="{FF2B5EF4-FFF2-40B4-BE49-F238E27FC236}">
                <a16:creationId xmlns:a16="http://schemas.microsoft.com/office/drawing/2014/main" id="{67487DC6-2A4D-4D6B-BF25-DB59914477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6">
        <xdr:nvSpPr>
          <xdr:cNvPr id="11" name="CaixaDeTexto 10">
            <a:extLst>
              <a:ext uri="{FF2B5EF4-FFF2-40B4-BE49-F238E27FC236}">
                <a16:creationId xmlns:a16="http://schemas.microsoft.com/office/drawing/2014/main" id="{05E4D45B-736A-4C0E-82A5-5AC3EC38344D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064031-5B90-455F-9A28-199437DA654A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R$ 435</a:t>
            </a:fld>
            <a:endParaRPr lang="pt-BR" sz="2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B071FCCF-509D-4CB5-978F-2327D10D344B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Pagar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114301</xdr:colOff>
      <xdr:row>4</xdr:row>
      <xdr:rowOff>139258</xdr:rowOff>
    </xdr:from>
    <xdr:to>
      <xdr:col>6</xdr:col>
      <xdr:colOff>323851</xdr:colOff>
      <xdr:row>9</xdr:row>
      <xdr:rowOff>172811</xdr:rowOff>
    </xdr:to>
    <xdr:pic>
      <xdr:nvPicPr>
        <xdr:cNvPr id="14" name="Imagem 30">
          <a:extLst>
            <a:ext uri="{FF2B5EF4-FFF2-40B4-BE49-F238E27FC236}">
              <a16:creationId xmlns:a16="http://schemas.microsoft.com/office/drawing/2014/main" id="{1BD52FFF-17F3-448B-B352-1F5ECEEBA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1" y="767908"/>
          <a:ext cx="2647950" cy="938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320484</xdr:colOff>
      <xdr:row>6</xdr:row>
      <xdr:rowOff>109999</xdr:rowOff>
    </xdr:from>
    <xdr:to>
      <xdr:col>5</xdr:col>
      <xdr:colOff>184536</xdr:colOff>
      <xdr:row>9</xdr:row>
      <xdr:rowOff>19636</xdr:rowOff>
    </xdr:to>
    <xdr:sp macro="" textlink="$P$5">
      <xdr:nvSpPr>
        <xdr:cNvPr id="15" name="CaixaDeTexto 14">
          <a:extLst>
            <a:ext uri="{FF2B5EF4-FFF2-40B4-BE49-F238E27FC236}">
              <a16:creationId xmlns:a16="http://schemas.microsoft.com/office/drawing/2014/main" id="{A3896C3C-A74C-4077-AC6F-26C15D33FA42}"/>
            </a:ext>
          </a:extLst>
        </xdr:cNvPr>
        <xdr:cNvSpPr txBox="1"/>
      </xdr:nvSpPr>
      <xdr:spPr bwMode="auto">
        <a:xfrm>
          <a:off x="2758884" y="1100599"/>
          <a:ext cx="1083252" cy="452562"/>
        </a:xfrm>
        <a:prstGeom prst="roundRect">
          <a:avLst/>
        </a:prstGeom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65BF98F-80CB-49CC-96E8-17AB01B0DD62}" type="TxLink"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R$ 405</a:t>
          </a:fld>
          <a:endParaRPr lang="pt-BR" sz="2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166688</xdr:colOff>
      <xdr:row>5</xdr:row>
      <xdr:rowOff>116912</xdr:rowOff>
    </xdr:from>
    <xdr:to>
      <xdr:col>5</xdr:col>
      <xdr:colOff>358391</xdr:colOff>
      <xdr:row>6</xdr:row>
      <xdr:rowOff>165699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EDE1D7BB-A647-487C-BBBC-39D2A0D80E7C}"/>
            </a:ext>
          </a:extLst>
        </xdr:cNvPr>
        <xdr:cNvSpPr txBox="1"/>
      </xdr:nvSpPr>
      <xdr:spPr bwMode="auto">
        <a:xfrm>
          <a:off x="2605088" y="926537"/>
          <a:ext cx="1410903" cy="229762"/>
        </a:xfrm>
        <a:prstGeom prst="roundRect">
          <a:avLst/>
        </a:prstGeom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Total</a:t>
          </a:r>
          <a:r>
            <a: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 Pago</a:t>
          </a:r>
          <a:endParaRPr lang="en-US" sz="1000" b="1" i="0" u="none" strike="noStrike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323851</xdr:colOff>
      <xdr:row>5</xdr:row>
      <xdr:rowOff>5908</xdr:rowOff>
    </xdr:from>
    <xdr:to>
      <xdr:col>13</xdr:col>
      <xdr:colOff>533401</xdr:colOff>
      <xdr:row>10</xdr:row>
      <xdr:rowOff>39461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2444F43-CBB8-4396-B0CC-BA4B05D517B6}"/>
            </a:ext>
          </a:extLst>
        </xdr:cNvPr>
        <xdr:cNvGrpSpPr/>
      </xdr:nvGrpSpPr>
      <xdr:grpSpPr>
        <a:xfrm>
          <a:off x="6451601" y="820825"/>
          <a:ext cx="2664883" cy="933136"/>
          <a:chOff x="7315201" y="2996758"/>
          <a:chExt cx="2647950" cy="938428"/>
        </a:xfrm>
      </xdr:grpSpPr>
      <xdr:pic>
        <xdr:nvPicPr>
          <xdr:cNvPr id="18" name="Imagem 30">
            <a:extLst>
              <a:ext uri="{FF2B5EF4-FFF2-40B4-BE49-F238E27FC236}">
                <a16:creationId xmlns:a16="http://schemas.microsoft.com/office/drawing/2014/main" id="{3EE22FD5-CF66-4DC6-911B-AD78DC6ADF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9">
        <xdr:nvSpPr>
          <xdr:cNvPr id="19" name="CaixaDeTexto 18">
            <a:extLst>
              <a:ext uri="{FF2B5EF4-FFF2-40B4-BE49-F238E27FC236}">
                <a16:creationId xmlns:a16="http://schemas.microsoft.com/office/drawing/2014/main" id="{CD86E1C1-06B5-4440-9907-D7103BF967FA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59910A-5AD2-4C86-A749-E0721860D436}" type="TxLink">
              <a:rPr lang="en-US" sz="14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26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8A48BB3-A792-4832-806F-CC6F3C572AA2}"/>
              </a:ext>
            </a:extLst>
          </xdr:cNvPr>
          <xdr:cNvSpPr txBox="1"/>
        </xdr:nvSpPr>
        <xdr:spPr bwMode="auto">
          <a:xfrm>
            <a:off x="7900988" y="3057525"/>
            <a:ext cx="1614487" cy="476250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Qtd Produtos</a:t>
            </a:r>
            <a:endPara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  <a:p>
            <a:pPr algn="ctr"/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Vendidos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533401</xdr:colOff>
      <xdr:row>12</xdr:row>
      <xdr:rowOff>110683</xdr:rowOff>
    </xdr:from>
    <xdr:to>
      <xdr:col>10</xdr:col>
      <xdr:colOff>133351</xdr:colOff>
      <xdr:row>17</xdr:row>
      <xdr:rowOff>144236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BC0B6FA-8CEF-4E1F-8673-40A19B56BD29}"/>
            </a:ext>
          </a:extLst>
        </xdr:cNvPr>
        <xdr:cNvGrpSpPr/>
      </xdr:nvGrpSpPr>
      <xdr:grpSpPr>
        <a:xfrm>
          <a:off x="4205818" y="2185016"/>
          <a:ext cx="2669116" cy="933137"/>
          <a:chOff x="7315201" y="2996758"/>
          <a:chExt cx="2647950" cy="938428"/>
        </a:xfrm>
      </xdr:grpSpPr>
      <xdr:pic>
        <xdr:nvPicPr>
          <xdr:cNvPr id="22" name="Imagem 30">
            <a:extLst>
              <a:ext uri="{FF2B5EF4-FFF2-40B4-BE49-F238E27FC236}">
                <a16:creationId xmlns:a16="http://schemas.microsoft.com/office/drawing/2014/main" id="{C2797D45-0D92-4D4D-8E08-75A030F75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8">
        <xdr:nvSpPr>
          <xdr:cNvPr id="23" name="CaixaDeTexto 22">
            <a:extLst>
              <a:ext uri="{FF2B5EF4-FFF2-40B4-BE49-F238E27FC236}">
                <a16:creationId xmlns:a16="http://schemas.microsoft.com/office/drawing/2014/main" id="{8665E334-EFA5-4DAA-951A-E6629FCFE88D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121E1B-80D2-4A81-9A94-0D2E057CB8B1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R$ 510</a:t>
            </a:fld>
            <a:endParaRPr lang="pt-BR" sz="4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70F98694-6B4A-4B8B-8D95-984C1BE41224}"/>
              </a:ext>
            </a:extLst>
          </xdr:cNvPr>
          <xdr:cNvSpPr txBox="1"/>
        </xdr:nvSpPr>
        <xdr:spPr bwMode="auto">
          <a:xfrm>
            <a:off x="8043863" y="3183962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Receber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142876</xdr:colOff>
      <xdr:row>12</xdr:row>
      <xdr:rowOff>101158</xdr:rowOff>
    </xdr:from>
    <xdr:to>
      <xdr:col>6</xdr:col>
      <xdr:colOff>352426</xdr:colOff>
      <xdr:row>17</xdr:row>
      <xdr:rowOff>134711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0A18BA3-3265-4226-909C-9D34E6A32FFB}"/>
            </a:ext>
          </a:extLst>
        </xdr:cNvPr>
        <xdr:cNvGrpSpPr/>
      </xdr:nvGrpSpPr>
      <xdr:grpSpPr>
        <a:xfrm>
          <a:off x="1973793" y="2175491"/>
          <a:ext cx="2664883" cy="933137"/>
          <a:chOff x="7315201" y="2996758"/>
          <a:chExt cx="2647950" cy="938428"/>
        </a:xfrm>
      </xdr:grpSpPr>
      <xdr:pic>
        <xdr:nvPicPr>
          <xdr:cNvPr id="26" name="Imagem 30">
            <a:extLst>
              <a:ext uri="{FF2B5EF4-FFF2-40B4-BE49-F238E27FC236}">
                <a16:creationId xmlns:a16="http://schemas.microsoft.com/office/drawing/2014/main" id="{C839D67F-684C-47B2-A20C-E5DE29A404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7">
        <xdr:nvSpPr>
          <xdr:cNvPr id="27" name="CaixaDeTexto 26">
            <a:extLst>
              <a:ext uri="{FF2B5EF4-FFF2-40B4-BE49-F238E27FC236}">
                <a16:creationId xmlns:a16="http://schemas.microsoft.com/office/drawing/2014/main" id="{B5B0DC2D-13E0-4C34-963D-F5E19BCF5626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A635EC-0505-4555-8358-D661190B431C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R$ 814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CA1321BD-AFB3-48F4-B06F-FA1B050D0EE6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Recebido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314326</xdr:colOff>
      <xdr:row>12</xdr:row>
      <xdr:rowOff>110683</xdr:rowOff>
    </xdr:from>
    <xdr:to>
      <xdr:col>13</xdr:col>
      <xdr:colOff>523876</xdr:colOff>
      <xdr:row>17</xdr:row>
      <xdr:rowOff>144236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C82FCAAF-9069-44FD-B037-2F6BF5CD537C}"/>
            </a:ext>
          </a:extLst>
        </xdr:cNvPr>
        <xdr:cNvGrpSpPr/>
      </xdr:nvGrpSpPr>
      <xdr:grpSpPr>
        <a:xfrm>
          <a:off x="6442076" y="2185016"/>
          <a:ext cx="2664883" cy="933137"/>
          <a:chOff x="7315201" y="2996758"/>
          <a:chExt cx="2647950" cy="938428"/>
        </a:xfrm>
      </xdr:grpSpPr>
      <xdr:pic>
        <xdr:nvPicPr>
          <xdr:cNvPr id="30" name="Imagem 30">
            <a:extLst>
              <a:ext uri="{FF2B5EF4-FFF2-40B4-BE49-F238E27FC236}">
                <a16:creationId xmlns:a16="http://schemas.microsoft.com/office/drawing/2014/main" id="{7E89448D-7580-4D82-960C-202F963DC0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10">
        <xdr:nvSpPr>
          <xdr:cNvPr id="31" name="CaixaDeTexto 30">
            <a:extLst>
              <a:ext uri="{FF2B5EF4-FFF2-40B4-BE49-F238E27FC236}">
                <a16:creationId xmlns:a16="http://schemas.microsoft.com/office/drawing/2014/main" id="{A5971E92-9DA8-4401-B47E-B675F6499157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9E65528-2289-41E9-8124-C3F8649AE411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R$ 409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4FE52728-1B93-446F-9E34-4651AA10ABBB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Lucro Total</a:t>
            </a:r>
          </a:p>
        </xdr:txBody>
      </xdr:sp>
    </xdr:grpSp>
    <xdr:clientData/>
  </xdr:twoCellAnchor>
  <xdr:twoCellAnchor editAs="oneCell">
    <xdr:from>
      <xdr:col>5</xdr:col>
      <xdr:colOff>485774</xdr:colOff>
      <xdr:row>4</xdr:row>
      <xdr:rowOff>140940</xdr:rowOff>
    </xdr:from>
    <xdr:to>
      <xdr:col>7</xdr:col>
      <xdr:colOff>161925</xdr:colOff>
      <xdr:row>9</xdr:row>
      <xdr:rowOff>152400</xdr:rowOff>
    </xdr:to>
    <xdr:pic>
      <xdr:nvPicPr>
        <xdr:cNvPr id="33" name="Imagem 32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1F0D6FAE-A77E-41E3-8C2F-91F5163489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41" t="3011" r="34926" b="68817"/>
        <a:stretch/>
      </xdr:blipFill>
      <xdr:spPr bwMode="auto">
        <a:xfrm>
          <a:off x="4143374" y="769590"/>
          <a:ext cx="895351" cy="91633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552450</xdr:colOff>
      <xdr:row>12</xdr:row>
      <xdr:rowOff>134457</xdr:rowOff>
    </xdr:from>
    <xdr:to>
      <xdr:col>7</xdr:col>
      <xdr:colOff>239033</xdr:colOff>
      <xdr:row>17</xdr:row>
      <xdr:rowOff>114300</xdr:rowOff>
    </xdr:to>
    <xdr:pic>
      <xdr:nvPicPr>
        <xdr:cNvPr id="34" name="Imagem 33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57498E79-838C-456D-B3A8-9FE059DF10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63011" r="66428" b="9893"/>
        <a:stretch/>
      </xdr:blipFill>
      <xdr:spPr bwMode="auto">
        <a:xfrm>
          <a:off x="4210050" y="2210907"/>
          <a:ext cx="905783" cy="88471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4</xdr:row>
      <xdr:rowOff>170497</xdr:rowOff>
    </xdr:from>
    <xdr:to>
      <xdr:col>3</xdr:col>
      <xdr:colOff>438150</xdr:colOff>
      <xdr:row>9</xdr:row>
      <xdr:rowOff>152400</xdr:rowOff>
    </xdr:to>
    <xdr:pic>
      <xdr:nvPicPr>
        <xdr:cNvPr id="35" name="Imagem 34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DDCA9B55-E3B2-44DA-A6BA-2771EEB2EF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63" t="63531" r="4082" b="9747"/>
        <a:stretch/>
      </xdr:blipFill>
      <xdr:spPr bwMode="auto">
        <a:xfrm>
          <a:off x="1971675" y="799147"/>
          <a:ext cx="904875" cy="88677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323851</xdr:colOff>
      <xdr:row>12</xdr:row>
      <xdr:rowOff>104775</xdr:rowOff>
    </xdr:from>
    <xdr:to>
      <xdr:col>11</xdr:col>
      <xdr:colOff>47625</xdr:colOff>
      <xdr:row>17</xdr:row>
      <xdr:rowOff>142875</xdr:rowOff>
    </xdr:to>
    <xdr:pic>
      <xdr:nvPicPr>
        <xdr:cNvPr id="36" name="Imagem 35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4F449D15-3A31-440C-9C1C-DF0E86B419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68" t="62986" r="34986" b="9474"/>
        <a:stretch/>
      </xdr:blipFill>
      <xdr:spPr bwMode="auto">
        <a:xfrm>
          <a:off x="6419851" y="2181225"/>
          <a:ext cx="942974" cy="942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12</xdr:row>
      <xdr:rowOff>131935</xdr:rowOff>
    </xdr:from>
    <xdr:to>
      <xdr:col>3</xdr:col>
      <xdr:colOff>457200</xdr:colOff>
      <xdr:row>17</xdr:row>
      <xdr:rowOff>114299</xdr:rowOff>
    </xdr:to>
    <xdr:pic>
      <xdr:nvPicPr>
        <xdr:cNvPr id="37" name="Imagem 36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2DFA734B-C392-453F-9742-78FDF30BE7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3" t="62986" r="66181" b="10292"/>
        <a:stretch/>
      </xdr:blipFill>
      <xdr:spPr bwMode="auto">
        <a:xfrm>
          <a:off x="1981200" y="2208385"/>
          <a:ext cx="914400" cy="88723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333375</xdr:colOff>
      <xdr:row>5</xdr:row>
      <xdr:rowOff>27466</xdr:rowOff>
    </xdr:from>
    <xdr:to>
      <xdr:col>11</xdr:col>
      <xdr:colOff>38100</xdr:colOff>
      <xdr:row>10</xdr:row>
      <xdr:rowOff>28575</xdr:rowOff>
    </xdr:to>
    <xdr:pic>
      <xdr:nvPicPr>
        <xdr:cNvPr id="38" name="Imagem 37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3B5AA8A8-DC29-478D-A966-306068C90D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80" t="32721" r="3790" b="39740"/>
        <a:stretch/>
      </xdr:blipFill>
      <xdr:spPr bwMode="auto">
        <a:xfrm>
          <a:off x="6429375" y="837091"/>
          <a:ext cx="923925" cy="90598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39" name="Imagem 38" descr="Imagem relacionada">
          <a:extLst>
            <a:ext uri="{FF2B5EF4-FFF2-40B4-BE49-F238E27FC236}">
              <a16:creationId xmlns:a16="http://schemas.microsoft.com/office/drawing/2014/main" id="{43B5CEEC-DCDB-4618-8878-94207FD64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7</xdr:row>
      <xdr:rowOff>49306</xdr:rowOff>
    </xdr:to>
    <xdr:sp macro="" textlink="">
      <xdr:nvSpPr>
        <xdr:cNvPr id="45" name="Retângulo 4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F3B0AB-85FB-4875-BAEA-0BE6F6CAF2FF}"/>
            </a:ext>
          </a:extLst>
        </xdr:cNvPr>
        <xdr:cNvSpPr/>
      </xdr:nvSpPr>
      <xdr:spPr>
        <a:xfrm>
          <a:off x="0" y="628650"/>
          <a:ext cx="1714500" cy="592231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54349</xdr:rowOff>
    </xdr:from>
    <xdr:to>
      <xdr:col>1</xdr:col>
      <xdr:colOff>0</xdr:colOff>
      <xdr:row>10</xdr:row>
      <xdr:rowOff>106456</xdr:rowOff>
    </xdr:to>
    <xdr:sp macro="" textlink="">
      <xdr:nvSpPr>
        <xdr:cNvPr id="46" name="Retângulo 4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174879-B49E-4CBC-A8A0-C650F151C0D6}"/>
            </a:ext>
          </a:extLst>
        </xdr:cNvPr>
        <xdr:cNvSpPr/>
      </xdr:nvSpPr>
      <xdr:spPr>
        <a:xfrm>
          <a:off x="0" y="122592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111499</xdr:rowOff>
    </xdr:from>
    <xdr:to>
      <xdr:col>1</xdr:col>
      <xdr:colOff>0</xdr:colOff>
      <xdr:row>13</xdr:row>
      <xdr:rowOff>163606</xdr:rowOff>
    </xdr:to>
    <xdr:sp macro="" textlink="">
      <xdr:nvSpPr>
        <xdr:cNvPr id="47" name="Retângulo 4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003BFC-F365-48C6-BFD5-04D14A3F51A7}"/>
            </a:ext>
          </a:extLst>
        </xdr:cNvPr>
        <xdr:cNvSpPr/>
      </xdr:nvSpPr>
      <xdr:spPr>
        <a:xfrm>
          <a:off x="0" y="182599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149599</xdr:rowOff>
    </xdr:from>
    <xdr:to>
      <xdr:col>1</xdr:col>
      <xdr:colOff>0</xdr:colOff>
      <xdr:row>17</xdr:row>
      <xdr:rowOff>20731</xdr:rowOff>
    </xdr:to>
    <xdr:sp macro="" textlink="">
      <xdr:nvSpPr>
        <xdr:cNvPr id="48" name="Retângulo 4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A8D3DB-1CCA-40EA-8052-7FB7772373AE}"/>
            </a:ext>
          </a:extLst>
        </xdr:cNvPr>
        <xdr:cNvSpPr/>
      </xdr:nvSpPr>
      <xdr:spPr>
        <a:xfrm>
          <a:off x="0" y="240702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17</xdr:row>
      <xdr:rowOff>16249</xdr:rowOff>
    </xdr:from>
    <xdr:to>
      <xdr:col>1</xdr:col>
      <xdr:colOff>0</xdr:colOff>
      <xdr:row>20</xdr:row>
      <xdr:rowOff>39781</xdr:rowOff>
    </xdr:to>
    <xdr:sp macro="" textlink="">
      <xdr:nvSpPr>
        <xdr:cNvPr id="49" name="Retângulo 4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E32967E-DFF7-4B69-887F-76AEB099D20A}"/>
            </a:ext>
          </a:extLst>
        </xdr:cNvPr>
        <xdr:cNvSpPr/>
      </xdr:nvSpPr>
      <xdr:spPr>
        <a:xfrm>
          <a:off x="0" y="299757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2" name="Imagem 1" descr="Imagem relacionada">
          <a:extLst>
            <a:ext uri="{FF2B5EF4-FFF2-40B4-BE49-F238E27FC236}">
              <a16:creationId xmlns:a16="http://schemas.microsoft.com/office/drawing/2014/main" id="{121C3CF7-1681-4612-A654-999E1DCF0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9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6</xdr:row>
      <xdr:rowOff>192181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CE49DA-A854-47BB-B0E7-851CF3197944}"/>
            </a:ext>
          </a:extLst>
        </xdr:cNvPr>
        <xdr:cNvSpPr/>
      </xdr:nvSpPr>
      <xdr:spPr>
        <a:xfrm>
          <a:off x="0" y="628650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197224</xdr:rowOff>
    </xdr:from>
    <xdr:to>
      <xdr:col>1</xdr:col>
      <xdr:colOff>0</xdr:colOff>
      <xdr:row>9</xdr:row>
      <xdr:rowOff>192181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A0C8CC-CCC6-4B6F-85B9-677BF857A29B}"/>
            </a:ext>
          </a:extLst>
        </xdr:cNvPr>
        <xdr:cNvSpPr/>
      </xdr:nvSpPr>
      <xdr:spPr>
        <a:xfrm>
          <a:off x="0" y="1225924"/>
          <a:ext cx="1714500" cy="595032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9</xdr:row>
      <xdr:rowOff>197224</xdr:rowOff>
    </xdr:from>
    <xdr:to>
      <xdr:col>1</xdr:col>
      <xdr:colOff>0</xdr:colOff>
      <xdr:row>12</xdr:row>
      <xdr:rowOff>192181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5B2977-CCD4-4CA2-9099-02909B66BCEB}"/>
            </a:ext>
          </a:extLst>
        </xdr:cNvPr>
        <xdr:cNvSpPr/>
      </xdr:nvSpPr>
      <xdr:spPr>
        <a:xfrm>
          <a:off x="0" y="182599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178174</xdr:rowOff>
    </xdr:from>
    <xdr:to>
      <xdr:col>1</xdr:col>
      <xdr:colOff>0</xdr:colOff>
      <xdr:row>15</xdr:row>
      <xdr:rowOff>173131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C04D72-71F5-4146-8DAA-77BAC4334CB6}"/>
            </a:ext>
          </a:extLst>
        </xdr:cNvPr>
        <xdr:cNvSpPr/>
      </xdr:nvSpPr>
      <xdr:spPr>
        <a:xfrm>
          <a:off x="0" y="240702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15</xdr:row>
      <xdr:rowOff>168649</xdr:rowOff>
    </xdr:from>
    <xdr:to>
      <xdr:col>1</xdr:col>
      <xdr:colOff>0</xdr:colOff>
      <xdr:row>18</xdr:row>
      <xdr:rowOff>163606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1BB532C-6CF3-4554-B5E4-D70C3A69AC70}"/>
            </a:ext>
          </a:extLst>
        </xdr:cNvPr>
        <xdr:cNvSpPr/>
      </xdr:nvSpPr>
      <xdr:spPr>
        <a:xfrm>
          <a:off x="0" y="299757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</xdr:col>
      <xdr:colOff>0</xdr:colOff>
      <xdr:row>6</xdr:row>
      <xdr:rowOff>192181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F0AED3-3FAB-4366-8BC6-00ADD549F4A6}"/>
            </a:ext>
          </a:extLst>
        </xdr:cNvPr>
        <xdr:cNvSpPr/>
      </xdr:nvSpPr>
      <xdr:spPr>
        <a:xfrm>
          <a:off x="0" y="638175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197224</xdr:rowOff>
    </xdr:from>
    <xdr:to>
      <xdr:col>1</xdr:col>
      <xdr:colOff>0</xdr:colOff>
      <xdr:row>9</xdr:row>
      <xdr:rowOff>192181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AA5919-E2DF-4527-935D-7ADB03A74283}"/>
            </a:ext>
          </a:extLst>
        </xdr:cNvPr>
        <xdr:cNvSpPr/>
      </xdr:nvSpPr>
      <xdr:spPr>
        <a:xfrm>
          <a:off x="0" y="12354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9</xdr:row>
      <xdr:rowOff>197224</xdr:rowOff>
    </xdr:from>
    <xdr:to>
      <xdr:col>1</xdr:col>
      <xdr:colOff>0</xdr:colOff>
      <xdr:row>12</xdr:row>
      <xdr:rowOff>192181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48908C1-F518-4961-AB58-F2FDCFC1F9E9}"/>
            </a:ext>
          </a:extLst>
        </xdr:cNvPr>
        <xdr:cNvSpPr/>
      </xdr:nvSpPr>
      <xdr:spPr>
        <a:xfrm>
          <a:off x="0" y="1835524"/>
          <a:ext cx="1714500" cy="595032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178174</xdr:rowOff>
    </xdr:from>
    <xdr:to>
      <xdr:col>1</xdr:col>
      <xdr:colOff>0</xdr:colOff>
      <xdr:row>15</xdr:row>
      <xdr:rowOff>173131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F788BA-0744-4760-BE3A-902A41817051}"/>
            </a:ext>
          </a:extLst>
        </xdr:cNvPr>
        <xdr:cNvSpPr/>
      </xdr:nvSpPr>
      <xdr:spPr>
        <a:xfrm>
          <a:off x="0" y="24165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15</xdr:row>
      <xdr:rowOff>168649</xdr:rowOff>
    </xdr:from>
    <xdr:to>
      <xdr:col>1</xdr:col>
      <xdr:colOff>0</xdr:colOff>
      <xdr:row>18</xdr:row>
      <xdr:rowOff>163606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F241F5E-2CD8-4FA2-91B2-08AAFE03CBA6}"/>
            </a:ext>
          </a:extLst>
        </xdr:cNvPr>
        <xdr:cNvSpPr/>
      </xdr:nvSpPr>
      <xdr:spPr>
        <a:xfrm>
          <a:off x="0" y="300709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3</xdr:row>
      <xdr:rowOff>164979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D8AEA88C-E459-44B9-9CEB-A86D624F7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12BBC66A-9D31-4B1A-B4AE-19EA95762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6</xdr:row>
      <xdr:rowOff>192181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1E1E21-B6E6-45E3-BAB2-25874BC962D6}"/>
            </a:ext>
          </a:extLst>
        </xdr:cNvPr>
        <xdr:cNvSpPr/>
      </xdr:nvSpPr>
      <xdr:spPr>
        <a:xfrm>
          <a:off x="0" y="638175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197224</xdr:rowOff>
    </xdr:from>
    <xdr:to>
      <xdr:col>1</xdr:col>
      <xdr:colOff>0</xdr:colOff>
      <xdr:row>9</xdr:row>
      <xdr:rowOff>192181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1F8AB2-78B9-4CF4-B576-1340EF4958F3}"/>
            </a:ext>
          </a:extLst>
        </xdr:cNvPr>
        <xdr:cNvSpPr/>
      </xdr:nvSpPr>
      <xdr:spPr>
        <a:xfrm>
          <a:off x="0" y="12354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9</xdr:row>
      <xdr:rowOff>197224</xdr:rowOff>
    </xdr:from>
    <xdr:to>
      <xdr:col>1</xdr:col>
      <xdr:colOff>0</xdr:colOff>
      <xdr:row>12</xdr:row>
      <xdr:rowOff>192181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A4C6D6-EAF4-43ED-9712-F79E35992188}"/>
            </a:ext>
          </a:extLst>
        </xdr:cNvPr>
        <xdr:cNvSpPr/>
      </xdr:nvSpPr>
      <xdr:spPr>
        <a:xfrm>
          <a:off x="0" y="183552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178174</xdr:rowOff>
    </xdr:from>
    <xdr:to>
      <xdr:col>1</xdr:col>
      <xdr:colOff>0</xdr:colOff>
      <xdr:row>15</xdr:row>
      <xdr:rowOff>173131</xdr:rowOff>
    </xdr:to>
    <xdr:sp macro="" textlink="">
      <xdr:nvSpPr>
        <xdr:cNvPr id="18" name="Retângul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40EFF3-B9A1-4D50-9859-E08AFD60E6FC}"/>
            </a:ext>
          </a:extLst>
        </xdr:cNvPr>
        <xdr:cNvSpPr/>
      </xdr:nvSpPr>
      <xdr:spPr>
        <a:xfrm>
          <a:off x="0" y="2416549"/>
          <a:ext cx="1714500" cy="595032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15</xdr:row>
      <xdr:rowOff>168649</xdr:rowOff>
    </xdr:from>
    <xdr:to>
      <xdr:col>1</xdr:col>
      <xdr:colOff>0</xdr:colOff>
      <xdr:row>18</xdr:row>
      <xdr:rowOff>163606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01C5155-E956-4697-A815-7B13400D9212}"/>
            </a:ext>
          </a:extLst>
        </xdr:cNvPr>
        <xdr:cNvSpPr/>
      </xdr:nvSpPr>
      <xdr:spPr>
        <a:xfrm>
          <a:off x="0" y="300709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101997</xdr:colOff>
      <xdr:row>29</xdr:row>
      <xdr:rowOff>85725</xdr:rowOff>
    </xdr:from>
    <xdr:to>
      <xdr:col>11</xdr:col>
      <xdr:colOff>142876</xdr:colOff>
      <xdr:row>48</xdr:row>
      <xdr:rowOff>88900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3376D6-8EEE-4D7F-A5D5-45FF2EAA9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4725F5B8-4461-4F83-A187-A417194CE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7</xdr:row>
      <xdr:rowOff>173131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32B6A75-B399-418D-AD67-094D16371BAC}"/>
            </a:ext>
          </a:extLst>
        </xdr:cNvPr>
        <xdr:cNvSpPr/>
      </xdr:nvSpPr>
      <xdr:spPr>
        <a:xfrm>
          <a:off x="0" y="638175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178174</xdr:rowOff>
    </xdr:from>
    <xdr:to>
      <xdr:col>1</xdr:col>
      <xdr:colOff>0</xdr:colOff>
      <xdr:row>10</xdr:row>
      <xdr:rowOff>144556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58D67B-AF27-45B6-A6AB-BDDE6BC0DEE7}"/>
            </a:ext>
          </a:extLst>
        </xdr:cNvPr>
        <xdr:cNvSpPr/>
      </xdr:nvSpPr>
      <xdr:spPr>
        <a:xfrm>
          <a:off x="0" y="12354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149599</xdr:rowOff>
    </xdr:from>
    <xdr:to>
      <xdr:col>1</xdr:col>
      <xdr:colOff>0</xdr:colOff>
      <xdr:row>13</xdr:row>
      <xdr:rowOff>115981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A953D4-0A23-4A85-8423-E02A099C486A}"/>
            </a:ext>
          </a:extLst>
        </xdr:cNvPr>
        <xdr:cNvSpPr/>
      </xdr:nvSpPr>
      <xdr:spPr>
        <a:xfrm>
          <a:off x="0" y="183552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101974</xdr:rowOff>
    </xdr:from>
    <xdr:to>
      <xdr:col>1</xdr:col>
      <xdr:colOff>0</xdr:colOff>
      <xdr:row>16</xdr:row>
      <xdr:rowOff>68356</xdr:rowOff>
    </xdr:to>
    <xdr:sp macro="" textlink="">
      <xdr:nvSpPr>
        <xdr:cNvPr id="13" name="Retângulo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5854DFF-A170-45B7-AF14-CC111537AD4C}"/>
            </a:ext>
          </a:extLst>
        </xdr:cNvPr>
        <xdr:cNvSpPr/>
      </xdr:nvSpPr>
      <xdr:spPr>
        <a:xfrm>
          <a:off x="0" y="24165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16</xdr:row>
      <xdr:rowOff>63874</xdr:rowOff>
    </xdr:from>
    <xdr:to>
      <xdr:col>1</xdr:col>
      <xdr:colOff>0</xdr:colOff>
      <xdr:row>19</xdr:row>
      <xdr:rowOff>30256</xdr:rowOff>
    </xdr:to>
    <xdr:sp macro="" textlink="">
      <xdr:nvSpPr>
        <xdr:cNvPr id="14" name="Retângul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531D4D-B082-466E-904D-BF00B0005A6F}"/>
            </a:ext>
          </a:extLst>
        </xdr:cNvPr>
        <xdr:cNvSpPr/>
      </xdr:nvSpPr>
      <xdr:spPr>
        <a:xfrm>
          <a:off x="0" y="3007099"/>
          <a:ext cx="1714500" cy="595032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76200</xdr:rowOff>
    </xdr:from>
    <xdr:to>
      <xdr:col>8</xdr:col>
      <xdr:colOff>361950</xdr:colOff>
      <xdr:row>6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F9EB5-8741-43BD-B9D5-9E1127A1BDDE}"/>
            </a:ext>
          </a:extLst>
        </xdr:cNvPr>
        <xdr:cNvSpPr/>
      </xdr:nvSpPr>
      <xdr:spPr>
        <a:xfrm>
          <a:off x="6229350" y="723900"/>
          <a:ext cx="1619250" cy="447675"/>
        </a:xfrm>
        <a:prstGeom prst="roundRect">
          <a:avLst>
            <a:gd name="adj" fmla="val 27305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FONTE E SINTAXE</a:t>
          </a:r>
        </a:p>
      </xdr:txBody>
    </xdr:sp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174504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FBFB3BB4-A529-433E-843C-893315B1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7844</xdr:rowOff>
    </xdr:from>
    <xdr:to>
      <xdr:col>1</xdr:col>
      <xdr:colOff>0</xdr:colOff>
      <xdr:row>7</xdr:row>
      <xdr:rowOff>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675431-2EB7-4B80-BBDC-1245F27F3230}"/>
            </a:ext>
          </a:extLst>
        </xdr:cNvPr>
        <xdr:cNvSpPr/>
      </xdr:nvSpPr>
      <xdr:spPr>
        <a:xfrm>
          <a:off x="0" y="636494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5043</xdr:rowOff>
    </xdr:from>
    <xdr:to>
      <xdr:col>1</xdr:col>
      <xdr:colOff>0</xdr:colOff>
      <xdr:row>10</xdr:row>
      <xdr:rowOff>9525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B439F9-172A-442E-AC72-42FFD89CE302}"/>
            </a:ext>
          </a:extLst>
        </xdr:cNvPr>
        <xdr:cNvSpPr/>
      </xdr:nvSpPr>
      <xdr:spPr>
        <a:xfrm>
          <a:off x="0" y="12337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14568</xdr:rowOff>
    </xdr:from>
    <xdr:to>
      <xdr:col>1</xdr:col>
      <xdr:colOff>0</xdr:colOff>
      <xdr:row>13</xdr:row>
      <xdr:rowOff>38100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0F97B40-150A-439A-940D-28513B1CC7B4}"/>
            </a:ext>
          </a:extLst>
        </xdr:cNvPr>
        <xdr:cNvSpPr/>
      </xdr:nvSpPr>
      <xdr:spPr>
        <a:xfrm>
          <a:off x="0" y="1833843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24093</xdr:rowOff>
    </xdr:from>
    <xdr:to>
      <xdr:col>1</xdr:col>
      <xdr:colOff>0</xdr:colOff>
      <xdr:row>16</xdr:row>
      <xdr:rowOff>47625</xdr:rowOff>
    </xdr:to>
    <xdr:sp macro="" textlink="">
      <xdr:nvSpPr>
        <xdr:cNvPr id="7" name="Retâ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6BEA6B3-D9D2-4CA5-A407-A5AA9816233B}"/>
            </a:ext>
          </a:extLst>
        </xdr:cNvPr>
        <xdr:cNvSpPr/>
      </xdr:nvSpPr>
      <xdr:spPr>
        <a:xfrm>
          <a:off x="0" y="24148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16</xdr:row>
      <xdr:rowOff>43143</xdr:rowOff>
    </xdr:from>
    <xdr:to>
      <xdr:col>1</xdr:col>
      <xdr:colOff>0</xdr:colOff>
      <xdr:row>19</xdr:row>
      <xdr:rowOff>66675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5B2A053-0182-41AF-B3E1-68327F71C745}"/>
            </a:ext>
          </a:extLst>
        </xdr:cNvPr>
        <xdr:cNvSpPr/>
      </xdr:nvSpPr>
      <xdr:spPr>
        <a:xfrm>
          <a:off x="0" y="300541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2</xdr:col>
      <xdr:colOff>2009775</xdr:colOff>
      <xdr:row>9</xdr:row>
      <xdr:rowOff>171450</xdr:rowOff>
    </xdr:from>
    <xdr:to>
      <xdr:col>4</xdr:col>
      <xdr:colOff>123825</xdr:colOff>
      <xdr:row>16</xdr:row>
      <xdr:rowOff>171450</xdr:rowOff>
    </xdr:to>
    <xdr:pic>
      <xdr:nvPicPr>
        <xdr:cNvPr id="10" name="Gráfico 9" descr="Bloqueio">
          <a:extLst>
            <a:ext uri="{FF2B5EF4-FFF2-40B4-BE49-F238E27FC236}">
              <a16:creationId xmlns:a16="http://schemas.microsoft.com/office/drawing/2014/main" id="{22466515-E3F2-4C43-A8B4-BDF866BE0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838575" y="1800225"/>
          <a:ext cx="1333500" cy="1333500"/>
        </a:xfrm>
        <a:prstGeom prst="rect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Q20"/>
  <sheetViews>
    <sheetView showGridLines="0" showRowColHeaders="0" tabSelected="1" zoomScale="90" zoomScaleNormal="90" workbookViewId="0">
      <selection activeCell="V15" sqref="V15"/>
    </sheetView>
  </sheetViews>
  <sheetFormatPr defaultRowHeight="14.25" x14ac:dyDescent="0.2"/>
  <cols>
    <col min="1" max="1" width="25.7109375" style="5" customWidth="1"/>
    <col min="2" max="2" width="1.7109375" style="5" customWidth="1"/>
    <col min="3" max="14" width="9.140625" style="5"/>
    <col min="15" max="15" width="27.28515625" style="5" bestFit="1" customWidth="1"/>
    <col min="16" max="16" width="14.85546875" style="5" customWidth="1"/>
    <col min="17" max="16384" width="9.140625" style="5"/>
  </cols>
  <sheetData>
    <row r="1" spans="3:17" ht="9.9499999999999993" customHeight="1" x14ac:dyDescent="0.2"/>
    <row r="2" spans="3:17" ht="15" x14ac:dyDescent="0.25">
      <c r="C2" s="39" t="s">
        <v>50</v>
      </c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3:17" ht="9.9499999999999993" customHeight="1" x14ac:dyDescent="0.2"/>
    <row r="4" spans="3:17" ht="15" x14ac:dyDescent="0.25">
      <c r="C4" s="40" t="s">
        <v>51</v>
      </c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3:17" ht="14.25" customHeight="1" x14ac:dyDescent="0.2">
      <c r="C5" s="33"/>
      <c r="D5" s="34"/>
      <c r="E5" s="34"/>
      <c r="F5" s="34"/>
      <c r="G5" s="34"/>
      <c r="H5" s="34"/>
      <c r="I5" s="34"/>
      <c r="J5" s="34"/>
      <c r="K5" s="34"/>
      <c r="L5" s="34"/>
      <c r="M5" s="35"/>
      <c r="O5" s="6" t="s">
        <v>52</v>
      </c>
      <c r="P5" s="42">
        <f>SUMIF(confirmacao_cp,"S",valor_cp)</f>
        <v>405</v>
      </c>
      <c r="Q5" s="5" t="str">
        <f ca="1">_xlfn.FORMULATEXT(P5)</f>
        <v>=SOMASE(confirmacao_cp;"S";valor_cp)</v>
      </c>
    </row>
    <row r="6" spans="3:17" ht="14.25" customHeight="1" x14ac:dyDescent="0.2">
      <c r="C6" s="33"/>
      <c r="D6" s="34"/>
      <c r="E6" s="34"/>
      <c r="F6" s="34"/>
      <c r="G6" s="34"/>
      <c r="H6" s="34"/>
      <c r="I6" s="34"/>
      <c r="J6" s="34"/>
      <c r="K6" s="34"/>
      <c r="L6" s="34"/>
      <c r="M6" s="35"/>
      <c r="O6" s="6" t="s">
        <v>53</v>
      </c>
      <c r="P6" s="42">
        <f>SUMIF(confirmacao_cp,"",valor_cp)</f>
        <v>435</v>
      </c>
      <c r="Q6" s="5" t="str">
        <f t="shared" ref="Q6:Q10" ca="1" si="0">_xlfn.FORMULATEXT(P6)</f>
        <v>=SOMASE(confirmacao_cp;"";valor_cp)</v>
      </c>
    </row>
    <row r="7" spans="3:17" ht="14.25" customHeight="1" x14ac:dyDescent="0.2">
      <c r="C7" s="33"/>
      <c r="D7" s="34"/>
      <c r="E7" s="34"/>
      <c r="F7" s="34"/>
      <c r="G7" s="34"/>
      <c r="H7" s="34"/>
      <c r="I7" s="34"/>
      <c r="J7" s="34"/>
      <c r="K7" s="34"/>
      <c r="L7" s="34"/>
      <c r="M7" s="35"/>
      <c r="O7" s="6" t="s">
        <v>54</v>
      </c>
      <c r="P7" s="42">
        <f>SUMIF('Contas a Receber'!$K$5:$K$30,"S",'Contas a Receber'!$J$5:$J$30)</f>
        <v>814</v>
      </c>
      <c r="Q7" s="5" t="str">
        <f t="shared" ca="1" si="0"/>
        <v>=SOMASE('Contas a Receber'!$K$5:$K$30;"S";'Contas a Receber'!$J$5:$J$30)</v>
      </c>
    </row>
    <row r="8" spans="3:17" ht="14.25" customHeight="1" x14ac:dyDescent="0.2">
      <c r="C8" s="33"/>
      <c r="D8" s="34"/>
      <c r="E8" s="34"/>
      <c r="F8" s="34"/>
      <c r="G8" s="34"/>
      <c r="H8" s="34"/>
      <c r="I8" s="34"/>
      <c r="J8" s="34"/>
      <c r="K8" s="34"/>
      <c r="L8" s="34"/>
      <c r="M8" s="35"/>
      <c r="O8" s="6" t="s">
        <v>55</v>
      </c>
      <c r="P8" s="42">
        <f>SUMIF('Contas a Receber'!$K$5:$K$30,"",'Contas a Receber'!$J$5:$J$30)</f>
        <v>510</v>
      </c>
      <c r="Q8" s="5" t="str">
        <f t="shared" ca="1" si="0"/>
        <v>=SOMASE('Contas a Receber'!$K$5:$K$30;"";'Contas a Receber'!$J$5:$J$30)</v>
      </c>
    </row>
    <row r="9" spans="3:17" ht="14.25" customHeight="1" x14ac:dyDescent="0.2">
      <c r="C9" s="33"/>
      <c r="D9" s="34"/>
      <c r="E9" s="34"/>
      <c r="F9" s="34"/>
      <c r="G9" s="34"/>
      <c r="H9" s="34"/>
      <c r="I9" s="34"/>
      <c r="J9" s="34"/>
      <c r="K9" s="34"/>
      <c r="L9" s="34"/>
      <c r="M9" s="35"/>
      <c r="O9" s="22" t="s">
        <v>154</v>
      </c>
      <c r="P9" s="6">
        <f>COUNTA('Contas a Receber'!E5:E30)</f>
        <v>26</v>
      </c>
      <c r="Q9" s="5" t="str">
        <f t="shared" ca="1" si="0"/>
        <v>=CONT.VALORES('Contas a Receber'!E5:E30)</v>
      </c>
    </row>
    <row r="10" spans="3:17" ht="14.25" customHeight="1" x14ac:dyDescent="0.2"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5"/>
      <c r="O10" s="6" t="s">
        <v>56</v>
      </c>
      <c r="P10" s="7">
        <f>P7-P5</f>
        <v>409</v>
      </c>
      <c r="Q10" s="5" t="str">
        <f t="shared" ca="1" si="0"/>
        <v>=P7-P5</v>
      </c>
    </row>
    <row r="11" spans="3:17" ht="14.25" customHeight="1" x14ac:dyDescent="0.2"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5"/>
    </row>
    <row r="12" spans="3:17" ht="14.25" customHeight="1" x14ac:dyDescent="0.2"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5"/>
    </row>
    <row r="13" spans="3:17" ht="14.25" customHeight="1" x14ac:dyDescent="0.2"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5"/>
    </row>
    <row r="14" spans="3:17" ht="14.25" customHeight="1" x14ac:dyDescent="0.2"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5"/>
    </row>
    <row r="15" spans="3:17" ht="14.25" customHeight="1" x14ac:dyDescent="0.2"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5"/>
    </row>
    <row r="16" spans="3:17" ht="14.25" customHeight="1" x14ac:dyDescent="0.2"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5"/>
    </row>
    <row r="17" spans="3:13" ht="14.25" customHeight="1" x14ac:dyDescent="0.2"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5"/>
    </row>
    <row r="18" spans="3:13" ht="15" customHeight="1" x14ac:dyDescent="0.2"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3:13" ht="15" customHeight="1" x14ac:dyDescent="0.2">
      <c r="C19" s="33"/>
      <c r="D19" s="34"/>
      <c r="E19" s="34"/>
      <c r="F19" s="34"/>
      <c r="G19" s="34"/>
      <c r="H19" s="34"/>
      <c r="I19" s="34"/>
      <c r="J19" s="34"/>
      <c r="K19" s="34"/>
      <c r="L19" s="34"/>
      <c r="M19" s="35"/>
    </row>
    <row r="20" spans="3:13" ht="15" customHeight="1" thickBot="1" x14ac:dyDescent="0.25"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8"/>
    </row>
  </sheetData>
  <mergeCells count="3">
    <mergeCell ref="C5:M20"/>
    <mergeCell ref="C2:M2"/>
    <mergeCell ref="C4:M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showRowColHeaders="0" zoomScaleNormal="100" workbookViewId="0">
      <pane xSplit="1" ySplit="4" topLeftCell="G5" activePane="bottomRight" state="frozen"/>
      <selection pane="topRight" activeCell="B1" sqref="B1"/>
      <selection pane="bottomLeft" activeCell="A5" sqref="A5"/>
      <selection pane="bottomRight" sqref="A1:A4"/>
    </sheetView>
  </sheetViews>
  <sheetFormatPr defaultRowHeight="15" x14ac:dyDescent="0.25"/>
  <cols>
    <col min="1" max="1" width="25.7109375" customWidth="1"/>
    <col min="2" max="2" width="1.7109375" customWidth="1"/>
    <col min="3" max="3" width="34.42578125" bestFit="1" customWidth="1"/>
    <col min="4" max="4" width="1.7109375" customWidth="1"/>
    <col min="5" max="5" width="36.28515625" bestFit="1" customWidth="1"/>
    <col min="6" max="6" width="1.7109375" customWidth="1"/>
    <col min="7" max="7" width="18" customWidth="1"/>
    <col min="8" max="8" width="1.7109375" customWidth="1"/>
    <col min="9" max="9" width="23.85546875" bestFit="1" customWidth="1"/>
    <col min="10" max="10" width="1.7109375" customWidth="1"/>
    <col min="11" max="11" width="24.140625" customWidth="1"/>
    <col min="12" max="12" width="12" bestFit="1" customWidth="1"/>
  </cols>
  <sheetData>
    <row r="1" spans="1:17" ht="9.9499999999999993" customHeight="1" x14ac:dyDescent="0.25">
      <c r="A1" s="41"/>
    </row>
    <row r="2" spans="1:17" x14ac:dyDescent="0.25">
      <c r="A2" s="41"/>
      <c r="C2" s="39" t="s">
        <v>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ht="9.9499999999999993" customHeight="1" x14ac:dyDescent="0.25">
      <c r="A3" s="41"/>
    </row>
    <row r="4" spans="1:17" x14ac:dyDescent="0.25">
      <c r="A4" s="41"/>
      <c r="C4" s="1" t="s">
        <v>1</v>
      </c>
      <c r="E4" s="1" t="s">
        <v>23</v>
      </c>
      <c r="G4" s="1" t="s">
        <v>24</v>
      </c>
      <c r="I4" s="1" t="s">
        <v>31</v>
      </c>
      <c r="K4" s="1" t="s">
        <v>38</v>
      </c>
      <c r="L4" s="1" t="s">
        <v>64</v>
      </c>
    </row>
    <row r="5" spans="1:17" ht="15.75" thickBot="1" x14ac:dyDescent="0.3">
      <c r="C5" s="4" t="s">
        <v>2</v>
      </c>
      <c r="E5" s="4" t="s">
        <v>8</v>
      </c>
      <c r="G5" s="4" t="s">
        <v>25</v>
      </c>
      <c r="I5" s="4" t="s">
        <v>32</v>
      </c>
      <c r="K5" s="4" t="s">
        <v>39</v>
      </c>
      <c r="L5" s="23">
        <v>15</v>
      </c>
    </row>
    <row r="6" spans="1:17" ht="15.75" thickBot="1" x14ac:dyDescent="0.3">
      <c r="C6" s="4" t="s">
        <v>3</v>
      </c>
      <c r="E6" s="4" t="s">
        <v>9</v>
      </c>
      <c r="G6" s="4" t="s">
        <v>26</v>
      </c>
      <c r="I6" s="4" t="s">
        <v>33</v>
      </c>
      <c r="K6" s="4" t="s">
        <v>40</v>
      </c>
      <c r="L6" s="23">
        <v>20</v>
      </c>
    </row>
    <row r="7" spans="1:17" ht="15.75" thickBot="1" x14ac:dyDescent="0.3">
      <c r="C7" s="4" t="s">
        <v>4</v>
      </c>
      <c r="E7" s="4" t="s">
        <v>10</v>
      </c>
      <c r="G7" s="4" t="s">
        <v>27</v>
      </c>
      <c r="I7" s="4" t="s">
        <v>34</v>
      </c>
      <c r="K7" s="4" t="s">
        <v>41</v>
      </c>
      <c r="L7" s="23">
        <v>60</v>
      </c>
    </row>
    <row r="8" spans="1:17" ht="15.75" thickBot="1" x14ac:dyDescent="0.3">
      <c r="C8" s="4" t="s">
        <v>5</v>
      </c>
      <c r="E8" s="4" t="s">
        <v>11</v>
      </c>
      <c r="G8" s="4" t="s">
        <v>28</v>
      </c>
      <c r="I8" s="4" t="s">
        <v>35</v>
      </c>
      <c r="K8" s="4" t="s">
        <v>42</v>
      </c>
      <c r="L8" s="23">
        <v>55</v>
      </c>
    </row>
    <row r="9" spans="1:17" ht="15.75" thickBot="1" x14ac:dyDescent="0.3">
      <c r="C9" s="4" t="s">
        <v>6</v>
      </c>
      <c r="E9" s="4" t="s">
        <v>12</v>
      </c>
      <c r="G9" s="4" t="s">
        <v>29</v>
      </c>
      <c r="I9" s="4" t="s">
        <v>36</v>
      </c>
      <c r="K9" s="4" t="s">
        <v>43</v>
      </c>
      <c r="L9" s="23">
        <v>95</v>
      </c>
    </row>
    <row r="10" spans="1:17" ht="15.75" thickBot="1" x14ac:dyDescent="0.3">
      <c r="C10" s="4" t="s">
        <v>7</v>
      </c>
      <c r="E10" s="4" t="s">
        <v>13</v>
      </c>
      <c r="G10" s="4" t="s">
        <v>30</v>
      </c>
      <c r="I10" s="4" t="s">
        <v>37</v>
      </c>
      <c r="K10" s="4" t="s">
        <v>44</v>
      </c>
      <c r="L10" s="23">
        <v>40</v>
      </c>
    </row>
    <row r="11" spans="1:17" ht="15.75" thickBot="1" x14ac:dyDescent="0.3">
      <c r="E11" s="4" t="s">
        <v>14</v>
      </c>
      <c r="K11" s="4" t="s">
        <v>45</v>
      </c>
      <c r="L11" s="23">
        <v>18</v>
      </c>
    </row>
    <row r="12" spans="1:17" ht="15.75" thickBot="1" x14ac:dyDescent="0.3">
      <c r="E12" s="4" t="s">
        <v>15</v>
      </c>
      <c r="K12" s="4" t="s">
        <v>46</v>
      </c>
      <c r="L12" s="23">
        <v>120</v>
      </c>
    </row>
    <row r="13" spans="1:17" ht="15.75" thickBot="1" x14ac:dyDescent="0.3">
      <c r="E13" s="4" t="s">
        <v>16</v>
      </c>
      <c r="K13" s="4" t="s">
        <v>47</v>
      </c>
      <c r="L13" s="23">
        <v>48</v>
      </c>
    </row>
    <row r="14" spans="1:17" ht="15.75" thickBot="1" x14ac:dyDescent="0.3">
      <c r="E14" s="4" t="s">
        <v>17</v>
      </c>
      <c r="K14" s="4" t="s">
        <v>48</v>
      </c>
      <c r="L14" s="23">
        <v>75</v>
      </c>
    </row>
    <row r="15" spans="1:17" ht="15.75" thickBot="1" x14ac:dyDescent="0.3">
      <c r="E15" s="4" t="s">
        <v>18</v>
      </c>
      <c r="K15" s="4" t="s">
        <v>49</v>
      </c>
      <c r="L15" s="23">
        <v>12</v>
      </c>
    </row>
    <row r="16" spans="1:17" ht="15.75" thickBot="1" x14ac:dyDescent="0.3">
      <c r="E16" s="4" t="s">
        <v>19</v>
      </c>
    </row>
    <row r="17" spans="5:5" ht="15.75" thickBot="1" x14ac:dyDescent="0.3">
      <c r="E17" s="4" t="s">
        <v>20</v>
      </c>
    </row>
    <row r="18" spans="5:5" ht="15.75" thickBot="1" x14ac:dyDescent="0.3">
      <c r="E18" s="4" t="s">
        <v>21</v>
      </c>
    </row>
    <row r="19" spans="5:5" ht="15.75" thickBot="1" x14ac:dyDescent="0.3">
      <c r="E19" s="4" t="s">
        <v>22</v>
      </c>
    </row>
  </sheetData>
  <mergeCells count="2">
    <mergeCell ref="C2:Q2"/>
    <mergeCell ref="A1:A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0"/>
  <sheetViews>
    <sheetView showGridLines="0" showRowColHeaders="0" topLeftCell="A16" zoomScale="120" zoomScaleNormal="120" workbookViewId="0">
      <selection activeCell="P10" sqref="P10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24.140625" customWidth="1"/>
    <col min="6" max="6" width="21.5703125" customWidth="1"/>
    <col min="7" max="7" width="18.42578125" bestFit="1" customWidth="1"/>
    <col min="8" max="8" width="27.7109375" bestFit="1" customWidth="1"/>
    <col min="9" max="9" width="32.42578125" bestFit="1" customWidth="1"/>
    <col min="10" max="10" width="11.7109375" bestFit="1" customWidth="1"/>
    <col min="11" max="11" width="15.42578125" bestFit="1" customWidth="1"/>
    <col min="12" max="12" width="21.85546875" bestFit="1" customWidth="1"/>
    <col min="13" max="13" width="13.7109375" customWidth="1"/>
    <col min="14" max="14" width="19.85546875" bestFit="1" customWidth="1"/>
    <col min="15" max="15" width="28.5703125" bestFit="1" customWidth="1"/>
  </cols>
  <sheetData>
    <row r="1" spans="1:15" ht="9.9499999999999993" customHeight="1" x14ac:dyDescent="0.25"/>
    <row r="2" spans="1:15" x14ac:dyDescent="0.25">
      <c r="C2" s="39" t="s">
        <v>57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ht="9.9499999999999993" customHeight="1" x14ac:dyDescent="0.25"/>
    <row r="4" spans="1:15" ht="15.75" thickBot="1" x14ac:dyDescent="0.3">
      <c r="C4" s="11" t="s">
        <v>58</v>
      </c>
      <c r="D4" s="12" t="s">
        <v>59</v>
      </c>
      <c r="E4" s="12" t="s">
        <v>153</v>
      </c>
      <c r="F4" s="12" t="s">
        <v>60</v>
      </c>
      <c r="G4" s="12" t="s">
        <v>61</v>
      </c>
      <c r="H4" s="12" t="s">
        <v>62</v>
      </c>
      <c r="I4" s="12" t="s">
        <v>63</v>
      </c>
      <c r="J4" s="12" t="s">
        <v>64</v>
      </c>
      <c r="K4" s="12" t="s">
        <v>65</v>
      </c>
      <c r="L4" s="12" t="s">
        <v>66</v>
      </c>
      <c r="M4" s="12" t="s">
        <v>67</v>
      </c>
      <c r="N4" s="12" t="s">
        <v>68</v>
      </c>
      <c r="O4" s="13" t="s">
        <v>69</v>
      </c>
    </row>
    <row r="5" spans="1:15" ht="15.75" thickBot="1" x14ac:dyDescent="0.3">
      <c r="C5" s="16">
        <v>42736</v>
      </c>
      <c r="D5" s="17" t="s">
        <v>70</v>
      </c>
      <c r="E5" s="18" t="s">
        <v>39</v>
      </c>
      <c r="F5" s="18" t="s">
        <v>32</v>
      </c>
      <c r="G5" s="18" t="s">
        <v>137</v>
      </c>
      <c r="H5" s="18" t="s">
        <v>6</v>
      </c>
      <c r="I5" s="18" t="s">
        <v>155</v>
      </c>
      <c r="J5" s="19">
        <f>VLOOKUP(E5,Configurações!$K$5:$L$15,2,FALSE)</f>
        <v>15</v>
      </c>
      <c r="K5" s="18" t="str">
        <f>IF(ISBLANK(N5)&lt;&gt;TRUE,"S","")</f>
        <v>S</v>
      </c>
      <c r="L5" s="18" t="s">
        <v>26</v>
      </c>
      <c r="M5" s="18" t="str">
        <f>IF(N5="","",TEXT(N5,"mmm"))</f>
        <v>jun</v>
      </c>
      <c r="N5" s="16">
        <v>42903</v>
      </c>
      <c r="O5" s="16" t="str">
        <f ca="1">IF(ISBLANK(C5)=TRUE,"",IF(K5&lt;&gt;"S",IF(C5-TODAY()&lt;0,"Vencido há "&amp;(C5-TODAY())*-1&amp;" Dias",IF(C5-TODAY()&lt;7,"Próximo do Recebimento "&amp;C5-TODAY()&amp;" Dias para receber"," A Receber")),"Recebido"))</f>
        <v>Recebido</v>
      </c>
    </row>
    <row r="6" spans="1:15" ht="15.75" thickBot="1" x14ac:dyDescent="0.3">
      <c r="C6" s="16">
        <v>42748</v>
      </c>
      <c r="D6" s="17" t="s">
        <v>72</v>
      </c>
      <c r="E6" s="18" t="s">
        <v>40</v>
      </c>
      <c r="F6" s="18" t="s">
        <v>33</v>
      </c>
      <c r="G6" s="18" t="s">
        <v>138</v>
      </c>
      <c r="H6" s="18" t="s">
        <v>7</v>
      </c>
      <c r="I6" s="18" t="s">
        <v>156</v>
      </c>
      <c r="J6" s="19">
        <f>VLOOKUP(E6,Configurações!$K$5:$L$15,2,FALSE)</f>
        <v>20</v>
      </c>
      <c r="K6" s="18" t="str">
        <f>IF(ISBLANK(N6),"","S")</f>
        <v>S</v>
      </c>
      <c r="L6" s="18" t="s">
        <v>26</v>
      </c>
      <c r="M6" s="18" t="str">
        <f t="shared" ref="M6:M30" si="0">IF(N6="","",TEXT(N6,"mmm"))</f>
        <v>jan</v>
      </c>
      <c r="N6" s="16">
        <v>42736</v>
      </c>
      <c r="O6" s="16" t="str">
        <f t="shared" ref="O6:O30" ca="1" si="1">IF(ISBLANK(C6)=TRUE,"",IF(K6&lt;&gt;"S",IF(C6-TODAY()&lt;0,"Vencido há "&amp;(C6-TODAY())*-1&amp;" Dias",IF(C6-TODAY()&lt;7,"Próximo do Recebimento "&amp;C6-TODAY()&amp;" Dias para receber"," A Receber")),"Recebido"))</f>
        <v>Recebido</v>
      </c>
    </row>
    <row r="7" spans="1:15" ht="15.75" thickBot="1" x14ac:dyDescent="0.3">
      <c r="C7" s="16">
        <v>42747</v>
      </c>
      <c r="D7" s="17" t="s">
        <v>74</v>
      </c>
      <c r="E7" s="18" t="s">
        <v>41</v>
      </c>
      <c r="F7" s="18" t="s">
        <v>32</v>
      </c>
      <c r="G7" s="18" t="s">
        <v>139</v>
      </c>
      <c r="H7" s="18" t="s">
        <v>6</v>
      </c>
      <c r="I7" s="18" t="s">
        <v>155</v>
      </c>
      <c r="J7" s="19">
        <f>VLOOKUP(E7,Configurações!$K$5:$L$15,2,FALSE)</f>
        <v>60</v>
      </c>
      <c r="K7" s="18" t="str">
        <f>IF(N7="","","S")</f>
        <v>S</v>
      </c>
      <c r="L7" s="18" t="s">
        <v>26</v>
      </c>
      <c r="M7" s="18" t="str">
        <f t="shared" si="0"/>
        <v>jun</v>
      </c>
      <c r="N7" s="16">
        <v>42903</v>
      </c>
      <c r="O7" s="16" t="str">
        <f t="shared" ca="1" si="1"/>
        <v>Recebido</v>
      </c>
    </row>
    <row r="8" spans="1:15" ht="15.75" thickBot="1" x14ac:dyDescent="0.3">
      <c r="C8" s="16">
        <v>42781</v>
      </c>
      <c r="D8" s="17" t="s">
        <v>75</v>
      </c>
      <c r="E8" s="18" t="s">
        <v>42</v>
      </c>
      <c r="F8" s="18" t="s">
        <v>33</v>
      </c>
      <c r="G8" s="18" t="s">
        <v>140</v>
      </c>
      <c r="H8" s="18" t="s">
        <v>7</v>
      </c>
      <c r="I8" s="18" t="s">
        <v>155</v>
      </c>
      <c r="J8" s="19">
        <f>VLOOKUP(E8,Configurações!$K$5:$L$15,2,FALSE)</f>
        <v>55</v>
      </c>
      <c r="K8" s="18" t="str">
        <f t="shared" ref="K8:K30" si="2">IF(N8="","","S")</f>
        <v>S</v>
      </c>
      <c r="L8" s="18" t="s">
        <v>26</v>
      </c>
      <c r="M8" s="18" t="str">
        <f t="shared" si="0"/>
        <v>jun</v>
      </c>
      <c r="N8" s="16">
        <v>42903</v>
      </c>
      <c r="O8" s="16" t="str">
        <f t="shared" ca="1" si="1"/>
        <v>Recebido</v>
      </c>
    </row>
    <row r="9" spans="1:15" ht="15.75" thickBot="1" x14ac:dyDescent="0.3">
      <c r="C9" s="16">
        <v>42767</v>
      </c>
      <c r="D9" s="17" t="s">
        <v>75</v>
      </c>
      <c r="E9" s="18" t="s">
        <v>43</v>
      </c>
      <c r="F9" s="18" t="s">
        <v>32</v>
      </c>
      <c r="G9" s="18" t="s">
        <v>141</v>
      </c>
      <c r="H9" s="18" t="s">
        <v>6</v>
      </c>
      <c r="I9" s="18" t="s">
        <v>155</v>
      </c>
      <c r="J9" s="19">
        <f>VLOOKUP(E9,Configurações!$K$5:$L$15,2,FALSE)</f>
        <v>95</v>
      </c>
      <c r="K9" s="18" t="str">
        <f t="shared" si="2"/>
        <v>S</v>
      </c>
      <c r="L9" s="18" t="s">
        <v>26</v>
      </c>
      <c r="M9" s="18" t="str">
        <f t="shared" si="0"/>
        <v>jun</v>
      </c>
      <c r="N9" s="16">
        <v>42903</v>
      </c>
      <c r="O9" s="16" t="str">
        <f t="shared" ca="1" si="1"/>
        <v>Recebido</v>
      </c>
    </row>
    <row r="10" spans="1:15" ht="15.75" thickBot="1" x14ac:dyDescent="0.3">
      <c r="C10" s="16">
        <v>42779</v>
      </c>
      <c r="D10" s="17" t="s">
        <v>75</v>
      </c>
      <c r="E10" s="18" t="s">
        <v>44</v>
      </c>
      <c r="F10" s="18" t="s">
        <v>33</v>
      </c>
      <c r="G10" s="18" t="s">
        <v>142</v>
      </c>
      <c r="H10" s="18" t="s">
        <v>7</v>
      </c>
      <c r="I10" s="18" t="s">
        <v>155</v>
      </c>
      <c r="J10" s="19">
        <f>VLOOKUP(E10,Configurações!$K$5:$L$15,2,FALSE)</f>
        <v>40</v>
      </c>
      <c r="K10" s="18" t="str">
        <f t="shared" si="2"/>
        <v>S</v>
      </c>
      <c r="L10" s="18" t="s">
        <v>26</v>
      </c>
      <c r="M10" s="18" t="str">
        <f t="shared" si="0"/>
        <v>jun</v>
      </c>
      <c r="N10" s="16">
        <v>42903</v>
      </c>
      <c r="O10" s="16" t="str">
        <f t="shared" ca="1" si="1"/>
        <v>Recebido</v>
      </c>
    </row>
    <row r="11" spans="1:15" ht="15.75" thickBot="1" x14ac:dyDescent="0.3">
      <c r="C11" s="16">
        <v>42778</v>
      </c>
      <c r="D11" s="17" t="s">
        <v>76</v>
      </c>
      <c r="E11" s="18" t="s">
        <v>45</v>
      </c>
      <c r="F11" s="18" t="s">
        <v>32</v>
      </c>
      <c r="G11" s="18" t="s">
        <v>143</v>
      </c>
      <c r="H11" s="18" t="s">
        <v>3</v>
      </c>
      <c r="I11" s="18" t="s">
        <v>155</v>
      </c>
      <c r="J11" s="19">
        <f>VLOOKUP(E11,Configurações!$K$5:$L$15,2,FALSE)</f>
        <v>18</v>
      </c>
      <c r="K11" s="18" t="str">
        <f t="shared" si="2"/>
        <v>S</v>
      </c>
      <c r="L11" s="18" t="s">
        <v>25</v>
      </c>
      <c r="M11" s="18" t="str">
        <f t="shared" si="0"/>
        <v>jun</v>
      </c>
      <c r="N11" s="16">
        <v>42903</v>
      </c>
      <c r="O11" s="16" t="str">
        <f t="shared" ca="1" si="1"/>
        <v>Recebido</v>
      </c>
    </row>
    <row r="12" spans="1:15" ht="15.75" thickBot="1" x14ac:dyDescent="0.3">
      <c r="A12" s="2"/>
      <c r="C12" s="16">
        <v>42809</v>
      </c>
      <c r="D12" s="17" t="s">
        <v>76</v>
      </c>
      <c r="E12" s="18" t="s">
        <v>39</v>
      </c>
      <c r="F12" s="18" t="s">
        <v>33</v>
      </c>
      <c r="G12" s="18" t="s">
        <v>144</v>
      </c>
      <c r="H12" s="18" t="s">
        <v>4</v>
      </c>
      <c r="I12" s="18" t="s">
        <v>155</v>
      </c>
      <c r="J12" s="19">
        <f>VLOOKUP(E12,Configurações!$K$5:$L$15,2,FALSE)</f>
        <v>15</v>
      </c>
      <c r="K12" s="18" t="str">
        <f t="shared" si="2"/>
        <v>S</v>
      </c>
      <c r="L12" s="18" t="s">
        <v>77</v>
      </c>
      <c r="M12" s="18" t="str">
        <f t="shared" si="0"/>
        <v>jun</v>
      </c>
      <c r="N12" s="16">
        <v>42903</v>
      </c>
      <c r="O12" s="16" t="str">
        <f t="shared" ca="1" si="1"/>
        <v>Recebido</v>
      </c>
    </row>
    <row r="13" spans="1:15" ht="15.75" thickBot="1" x14ac:dyDescent="0.3">
      <c r="C13" s="16">
        <v>42826</v>
      </c>
      <c r="D13" s="17" t="s">
        <v>78</v>
      </c>
      <c r="E13" s="18" t="s">
        <v>40</v>
      </c>
      <c r="F13" s="18" t="s">
        <v>79</v>
      </c>
      <c r="G13" s="18" t="s">
        <v>145</v>
      </c>
      <c r="H13" s="18" t="s">
        <v>5</v>
      </c>
      <c r="I13" s="18" t="s">
        <v>155</v>
      </c>
      <c r="J13" s="19">
        <f>VLOOKUP(E13,Configurações!$K$5:$L$15,2,FALSE)</f>
        <v>20</v>
      </c>
      <c r="K13" s="18" t="str">
        <f t="shared" si="2"/>
        <v>S</v>
      </c>
      <c r="L13" s="18" t="s">
        <v>26</v>
      </c>
      <c r="M13" s="18" t="str">
        <f t="shared" si="0"/>
        <v>jun</v>
      </c>
      <c r="N13" s="16">
        <v>42903</v>
      </c>
      <c r="O13" s="16" t="str">
        <f t="shared" ca="1" si="1"/>
        <v>Recebido</v>
      </c>
    </row>
    <row r="14" spans="1:15" ht="15.75" thickBot="1" x14ac:dyDescent="0.3">
      <c r="C14" s="16">
        <v>42943</v>
      </c>
      <c r="D14" s="17" t="s">
        <v>78</v>
      </c>
      <c r="E14" s="18" t="s">
        <v>41</v>
      </c>
      <c r="F14" s="18" t="s">
        <v>32</v>
      </c>
      <c r="G14" s="18" t="s">
        <v>146</v>
      </c>
      <c r="H14" s="18" t="s">
        <v>2</v>
      </c>
      <c r="I14" s="18" t="s">
        <v>156</v>
      </c>
      <c r="J14" s="19">
        <f>VLOOKUP(E14,Configurações!$K$5:$L$15,2,FALSE)</f>
        <v>60</v>
      </c>
      <c r="K14" s="18" t="str">
        <f t="shared" si="2"/>
        <v>S</v>
      </c>
      <c r="L14" s="18" t="s">
        <v>25</v>
      </c>
      <c r="M14" s="18" t="str">
        <f t="shared" si="0"/>
        <v>jun</v>
      </c>
      <c r="N14" s="16">
        <v>42903</v>
      </c>
      <c r="O14" s="16" t="str">
        <f t="shared" ca="1" si="1"/>
        <v>Recebido</v>
      </c>
    </row>
    <row r="15" spans="1:15" ht="15.75" thickBot="1" x14ac:dyDescent="0.3">
      <c r="C15" s="16">
        <v>42914</v>
      </c>
      <c r="D15" s="17" t="s">
        <v>80</v>
      </c>
      <c r="E15" s="18" t="s">
        <v>42</v>
      </c>
      <c r="F15" s="18" t="s">
        <v>33</v>
      </c>
      <c r="G15" s="18" t="s">
        <v>147</v>
      </c>
      <c r="H15" s="18" t="s">
        <v>3</v>
      </c>
      <c r="I15" s="18" t="s">
        <v>155</v>
      </c>
      <c r="J15" s="19">
        <f>VLOOKUP(E15,Configurações!$K$5:$L$15,2,FALSE)</f>
        <v>55</v>
      </c>
      <c r="K15" s="18" t="str">
        <f t="shared" si="2"/>
        <v>S</v>
      </c>
      <c r="L15" s="18" t="s">
        <v>77</v>
      </c>
      <c r="M15" s="18" t="str">
        <f t="shared" si="0"/>
        <v>jul</v>
      </c>
      <c r="N15" s="16">
        <v>42936</v>
      </c>
      <c r="O15" s="16" t="str">
        <f t="shared" ca="1" si="1"/>
        <v>Recebido</v>
      </c>
    </row>
    <row r="16" spans="1:15" ht="15.75" thickBot="1" x14ac:dyDescent="0.3">
      <c r="C16" s="16">
        <v>42945</v>
      </c>
      <c r="D16" s="17" t="s">
        <v>81</v>
      </c>
      <c r="E16" s="18" t="s">
        <v>43</v>
      </c>
      <c r="F16" s="18" t="s">
        <v>79</v>
      </c>
      <c r="G16" s="18" t="s">
        <v>148</v>
      </c>
      <c r="H16" s="18" t="s">
        <v>4</v>
      </c>
      <c r="I16" s="18" t="s">
        <v>156</v>
      </c>
      <c r="J16" s="19">
        <f>VLOOKUP(E16,Configurações!$K$5:$L$15,2,FALSE)</f>
        <v>95</v>
      </c>
      <c r="K16" s="18" t="str">
        <f t="shared" si="2"/>
        <v>S</v>
      </c>
      <c r="L16" s="18" t="s">
        <v>27</v>
      </c>
      <c r="M16" s="18" t="str">
        <f t="shared" si="0"/>
        <v>jul</v>
      </c>
      <c r="N16" s="16">
        <v>42936</v>
      </c>
      <c r="O16" s="16" t="str">
        <f t="shared" ca="1" si="1"/>
        <v>Recebido</v>
      </c>
    </row>
    <row r="17" spans="3:15" ht="15.75" thickBot="1" x14ac:dyDescent="0.3">
      <c r="C17" s="16">
        <v>42916</v>
      </c>
      <c r="D17" s="17" t="s">
        <v>82</v>
      </c>
      <c r="E17" s="18" t="s">
        <v>44</v>
      </c>
      <c r="F17" s="18" t="s">
        <v>32</v>
      </c>
      <c r="G17" s="18" t="s">
        <v>149</v>
      </c>
      <c r="H17" s="18" t="s">
        <v>5</v>
      </c>
      <c r="I17" s="18" t="s">
        <v>155</v>
      </c>
      <c r="J17" s="19">
        <f>VLOOKUP(E17,Configurações!$K$5:$L$15,2,FALSE)</f>
        <v>40</v>
      </c>
      <c r="K17" s="18" t="str">
        <f t="shared" si="2"/>
        <v>S</v>
      </c>
      <c r="L17" s="18" t="s">
        <v>30</v>
      </c>
      <c r="M17" s="18" t="str">
        <f t="shared" si="0"/>
        <v>jul</v>
      </c>
      <c r="N17" s="16">
        <v>42936</v>
      </c>
      <c r="O17" s="16" t="str">
        <f t="shared" ca="1" si="1"/>
        <v>Recebido</v>
      </c>
    </row>
    <row r="18" spans="3:15" ht="15.75" thickBot="1" x14ac:dyDescent="0.3">
      <c r="C18" s="16">
        <v>42868</v>
      </c>
      <c r="D18" s="17" t="s">
        <v>82</v>
      </c>
      <c r="E18" s="18" t="s">
        <v>45</v>
      </c>
      <c r="F18" s="18" t="s">
        <v>32</v>
      </c>
      <c r="G18" s="18" t="s">
        <v>150</v>
      </c>
      <c r="H18" s="18" t="s">
        <v>2</v>
      </c>
      <c r="I18" s="18" t="s">
        <v>155</v>
      </c>
      <c r="J18" s="19">
        <f>VLOOKUP(E18,Configurações!$K$5:$L$15,2,FALSE)</f>
        <v>18</v>
      </c>
      <c r="K18" s="18" t="str">
        <f t="shared" si="2"/>
        <v>S</v>
      </c>
      <c r="L18" s="18" t="s">
        <v>26</v>
      </c>
      <c r="M18" s="18" t="str">
        <f t="shared" si="0"/>
        <v>jun</v>
      </c>
      <c r="N18" s="16">
        <v>42903</v>
      </c>
      <c r="O18" s="16" t="str">
        <f t="shared" ca="1" si="1"/>
        <v>Recebido</v>
      </c>
    </row>
    <row r="19" spans="3:15" ht="15.75" thickBot="1" x14ac:dyDescent="0.3">
      <c r="C19" s="16">
        <v>42959</v>
      </c>
      <c r="D19" s="17" t="s">
        <v>82</v>
      </c>
      <c r="E19" s="18" t="s">
        <v>46</v>
      </c>
      <c r="F19" s="18" t="s">
        <v>33</v>
      </c>
      <c r="G19" s="18" t="s">
        <v>151</v>
      </c>
      <c r="H19" s="18" t="s">
        <v>3</v>
      </c>
      <c r="I19" s="18" t="s">
        <v>155</v>
      </c>
      <c r="J19" s="19">
        <f>VLOOKUP(E19,Configurações!$K$5:$L$15,2,FALSE)</f>
        <v>120</v>
      </c>
      <c r="K19" s="18" t="str">
        <f t="shared" si="2"/>
        <v>S</v>
      </c>
      <c r="L19" s="18" t="s">
        <v>25</v>
      </c>
      <c r="M19" s="18" t="str">
        <f t="shared" si="0"/>
        <v>dez</v>
      </c>
      <c r="N19" s="16">
        <v>43081</v>
      </c>
      <c r="O19" s="16" t="str">
        <f t="shared" ca="1" si="1"/>
        <v>Recebido</v>
      </c>
    </row>
    <row r="20" spans="3:15" ht="15.75" thickBot="1" x14ac:dyDescent="0.3">
      <c r="C20" s="16">
        <v>42931</v>
      </c>
      <c r="D20" s="17" t="s">
        <v>83</v>
      </c>
      <c r="E20" s="18" t="s">
        <v>47</v>
      </c>
      <c r="F20" s="18" t="s">
        <v>32</v>
      </c>
      <c r="G20" s="18" t="s">
        <v>152</v>
      </c>
      <c r="H20" s="18" t="s">
        <v>4</v>
      </c>
      <c r="I20" s="18" t="s">
        <v>155</v>
      </c>
      <c r="J20" s="19">
        <f>VLOOKUP(E20,Configurações!$K$5:$L$15,2,FALSE)</f>
        <v>48</v>
      </c>
      <c r="K20" s="18" t="str">
        <f t="shared" si="2"/>
        <v>S</v>
      </c>
      <c r="L20" s="18" t="s">
        <v>77</v>
      </c>
      <c r="M20" s="18" t="str">
        <f t="shared" si="0"/>
        <v>dez</v>
      </c>
      <c r="N20" s="16">
        <v>43081</v>
      </c>
      <c r="O20" s="16" t="str">
        <f t="shared" ca="1" si="1"/>
        <v>Recebido</v>
      </c>
    </row>
    <row r="21" spans="3:15" ht="15.75" thickBot="1" x14ac:dyDescent="0.3">
      <c r="C21" s="16">
        <v>42917</v>
      </c>
      <c r="D21" s="17" t="s">
        <v>84</v>
      </c>
      <c r="E21" s="18" t="s">
        <v>48</v>
      </c>
      <c r="F21" s="18" t="s">
        <v>33</v>
      </c>
      <c r="G21" s="18" t="s">
        <v>137</v>
      </c>
      <c r="H21" s="18" t="s">
        <v>5</v>
      </c>
      <c r="I21" s="18" t="s">
        <v>155</v>
      </c>
      <c r="J21" s="19">
        <f>VLOOKUP(E21,Configurações!$K$5:$L$15,2,FALSE)</f>
        <v>75</v>
      </c>
      <c r="K21" s="18" t="str">
        <f t="shared" si="2"/>
        <v/>
      </c>
      <c r="L21" s="18" t="s">
        <v>27</v>
      </c>
      <c r="M21" s="18" t="str">
        <f t="shared" si="0"/>
        <v/>
      </c>
      <c r="N21" s="16"/>
      <c r="O21" s="16" t="str">
        <f t="shared" ca="1" si="1"/>
        <v>Vencido há 25 Dias</v>
      </c>
    </row>
    <row r="22" spans="3:15" ht="15.75" thickBot="1" x14ac:dyDescent="0.3">
      <c r="C22" s="16">
        <v>42868</v>
      </c>
      <c r="D22" s="17" t="s">
        <v>85</v>
      </c>
      <c r="E22" s="18" t="s">
        <v>49</v>
      </c>
      <c r="F22" s="18" t="s">
        <v>79</v>
      </c>
      <c r="G22" s="18" t="s">
        <v>138</v>
      </c>
      <c r="H22" s="18" t="s">
        <v>2</v>
      </c>
      <c r="I22" s="18" t="s">
        <v>155</v>
      </c>
      <c r="J22" s="19">
        <f>VLOOKUP(E22,Configurações!$K$5:$L$15,2,FALSE)</f>
        <v>12</v>
      </c>
      <c r="K22" s="18" t="str">
        <f t="shared" si="2"/>
        <v/>
      </c>
      <c r="L22" s="18" t="s">
        <v>26</v>
      </c>
      <c r="M22" s="18" t="str">
        <f t="shared" si="0"/>
        <v/>
      </c>
      <c r="N22" s="16"/>
      <c r="O22" s="16" t="str">
        <f t="shared" ca="1" si="1"/>
        <v>Vencido há 74 Dias</v>
      </c>
    </row>
    <row r="23" spans="3:15" ht="15.75" thickBot="1" x14ac:dyDescent="0.3">
      <c r="C23" s="16">
        <v>42990</v>
      </c>
      <c r="D23" s="17" t="s">
        <v>86</v>
      </c>
      <c r="E23" s="18" t="s">
        <v>42</v>
      </c>
      <c r="F23" s="18" t="s">
        <v>32</v>
      </c>
      <c r="G23" s="18" t="s">
        <v>139</v>
      </c>
      <c r="H23" s="18" t="s">
        <v>3</v>
      </c>
      <c r="I23" s="18" t="s">
        <v>156</v>
      </c>
      <c r="J23" s="19">
        <f>VLOOKUP(E23,Configurações!$K$5:$L$15,2,FALSE)</f>
        <v>55</v>
      </c>
      <c r="K23" s="18" t="str">
        <f t="shared" si="2"/>
        <v/>
      </c>
      <c r="L23" s="18" t="s">
        <v>25</v>
      </c>
      <c r="M23" s="18" t="str">
        <f t="shared" si="0"/>
        <v/>
      </c>
      <c r="N23" s="16"/>
      <c r="O23" s="16" t="str">
        <f t="shared" ca="1" si="1"/>
        <v xml:space="preserve"> A Receber</v>
      </c>
    </row>
    <row r="24" spans="3:15" ht="15.75" thickBot="1" x14ac:dyDescent="0.3">
      <c r="C24" s="16">
        <v>42945</v>
      </c>
      <c r="D24" s="17" t="s">
        <v>87</v>
      </c>
      <c r="E24" s="18" t="s">
        <v>43</v>
      </c>
      <c r="F24" s="18" t="s">
        <v>33</v>
      </c>
      <c r="G24" s="18" t="s">
        <v>140</v>
      </c>
      <c r="H24" s="18" t="s">
        <v>4</v>
      </c>
      <c r="I24" s="18" t="s">
        <v>155</v>
      </c>
      <c r="J24" s="19">
        <f>VLOOKUP(E24,Configurações!$K$5:$L$15,2,FALSE)</f>
        <v>95</v>
      </c>
      <c r="K24" s="18" t="str">
        <f t="shared" si="2"/>
        <v/>
      </c>
      <c r="L24" s="18" t="s">
        <v>77</v>
      </c>
      <c r="M24" s="18" t="str">
        <f t="shared" si="0"/>
        <v/>
      </c>
      <c r="N24" s="16"/>
      <c r="O24" s="16" t="str">
        <f t="shared" ca="1" si="1"/>
        <v>Próximo do Recebimento 3 Dias para receber</v>
      </c>
    </row>
    <row r="25" spans="3:15" ht="15.75" thickBot="1" x14ac:dyDescent="0.3">
      <c r="C25" s="16">
        <v>42945</v>
      </c>
      <c r="D25" s="17" t="s">
        <v>87</v>
      </c>
      <c r="E25" s="18" t="s">
        <v>44</v>
      </c>
      <c r="F25" s="18" t="s">
        <v>79</v>
      </c>
      <c r="G25" s="18" t="s">
        <v>141</v>
      </c>
      <c r="H25" s="18" t="s">
        <v>5</v>
      </c>
      <c r="I25" s="18" t="s">
        <v>156</v>
      </c>
      <c r="J25" s="19">
        <f>VLOOKUP(E25,Configurações!$K$5:$L$15,2,FALSE)</f>
        <v>40</v>
      </c>
      <c r="K25" s="18" t="str">
        <f t="shared" si="2"/>
        <v>S</v>
      </c>
      <c r="L25" s="18" t="s">
        <v>27</v>
      </c>
      <c r="M25" s="18" t="str">
        <f t="shared" si="0"/>
        <v>jun</v>
      </c>
      <c r="N25" s="16">
        <v>42903</v>
      </c>
      <c r="O25" s="16" t="str">
        <f t="shared" ca="1" si="1"/>
        <v>Recebido</v>
      </c>
    </row>
    <row r="26" spans="3:15" ht="15.75" thickBot="1" x14ac:dyDescent="0.3">
      <c r="C26" s="16">
        <v>43052</v>
      </c>
      <c r="D26" s="17" t="s">
        <v>87</v>
      </c>
      <c r="E26" s="18" t="s">
        <v>45</v>
      </c>
      <c r="F26" s="18" t="s">
        <v>32</v>
      </c>
      <c r="G26" s="18" t="s">
        <v>142</v>
      </c>
      <c r="H26" s="18" t="s">
        <v>6</v>
      </c>
      <c r="I26" s="18" t="s">
        <v>155</v>
      </c>
      <c r="J26" s="19">
        <f>VLOOKUP(E26,Configurações!$K$5:$L$15,2,FALSE)</f>
        <v>18</v>
      </c>
      <c r="K26" s="18" t="str">
        <f t="shared" si="2"/>
        <v/>
      </c>
      <c r="L26" s="18" t="s">
        <v>30</v>
      </c>
      <c r="M26" s="18" t="str">
        <f t="shared" si="0"/>
        <v/>
      </c>
      <c r="N26" s="16"/>
      <c r="O26" s="16" t="str">
        <f t="shared" ca="1" si="1"/>
        <v xml:space="preserve"> A Receber</v>
      </c>
    </row>
    <row r="27" spans="3:15" ht="15.75" thickBot="1" x14ac:dyDescent="0.3">
      <c r="C27" s="16">
        <v>43020</v>
      </c>
      <c r="D27" s="17" t="s">
        <v>88</v>
      </c>
      <c r="E27" s="18" t="s">
        <v>46</v>
      </c>
      <c r="F27" s="18" t="s">
        <v>33</v>
      </c>
      <c r="G27" s="18" t="s">
        <v>143</v>
      </c>
      <c r="H27" s="18" t="s">
        <v>7</v>
      </c>
      <c r="I27" s="18" t="s">
        <v>156</v>
      </c>
      <c r="J27" s="19">
        <f>VLOOKUP(E27,Configurações!$K$5:$L$15,2,FALSE)</f>
        <v>120</v>
      </c>
      <c r="K27" s="18" t="str">
        <f t="shared" si="2"/>
        <v/>
      </c>
      <c r="L27" s="18" t="s">
        <v>26</v>
      </c>
      <c r="M27" s="18" t="str">
        <f t="shared" si="0"/>
        <v/>
      </c>
      <c r="N27" s="16"/>
      <c r="O27" s="16" t="str">
        <f t="shared" ca="1" si="1"/>
        <v xml:space="preserve"> A Receber</v>
      </c>
    </row>
    <row r="28" spans="3:15" ht="15.75" thickBot="1" x14ac:dyDescent="0.3">
      <c r="C28" s="16">
        <v>43054</v>
      </c>
      <c r="D28" s="17" t="s">
        <v>89</v>
      </c>
      <c r="E28" s="18" t="s">
        <v>47</v>
      </c>
      <c r="F28" s="18" t="s">
        <v>79</v>
      </c>
      <c r="G28" s="18" t="s">
        <v>144</v>
      </c>
      <c r="H28" s="18" t="s">
        <v>7</v>
      </c>
      <c r="I28" s="18" t="s">
        <v>155</v>
      </c>
      <c r="J28" s="19">
        <f>VLOOKUP(E28,Configurações!$K$5:$L$15,2,FALSE)</f>
        <v>48</v>
      </c>
      <c r="K28" s="18" t="str">
        <f t="shared" si="2"/>
        <v/>
      </c>
      <c r="L28" s="18" t="s">
        <v>25</v>
      </c>
      <c r="M28" s="18" t="str">
        <f t="shared" si="0"/>
        <v/>
      </c>
      <c r="N28" s="16"/>
      <c r="O28" s="16" t="str">
        <f t="shared" ca="1" si="1"/>
        <v xml:space="preserve"> A Receber</v>
      </c>
    </row>
    <row r="29" spans="3:15" ht="15.75" thickBot="1" x14ac:dyDescent="0.3">
      <c r="C29" s="16">
        <v>43070</v>
      </c>
      <c r="D29" s="17" t="s">
        <v>90</v>
      </c>
      <c r="E29" s="18" t="s">
        <v>48</v>
      </c>
      <c r="F29" s="18" t="s">
        <v>32</v>
      </c>
      <c r="G29" s="18" t="s">
        <v>145</v>
      </c>
      <c r="H29" s="18" t="s">
        <v>7</v>
      </c>
      <c r="I29" s="18" t="s">
        <v>156</v>
      </c>
      <c r="J29" s="19">
        <f>VLOOKUP(E29,Configurações!$K$5:$L$15,2,FALSE)</f>
        <v>75</v>
      </c>
      <c r="K29" s="18" t="str">
        <f t="shared" si="2"/>
        <v/>
      </c>
      <c r="L29" s="18" t="s">
        <v>77</v>
      </c>
      <c r="M29" s="18" t="str">
        <f t="shared" si="0"/>
        <v/>
      </c>
      <c r="N29" s="16"/>
      <c r="O29" s="16" t="str">
        <f t="shared" ca="1" si="1"/>
        <v xml:space="preserve"> A Receber</v>
      </c>
    </row>
    <row r="30" spans="3:15" ht="15.75" thickBot="1" x14ac:dyDescent="0.3">
      <c r="C30" s="16"/>
      <c r="D30" s="17" t="s">
        <v>91</v>
      </c>
      <c r="E30" s="18" t="s">
        <v>49</v>
      </c>
      <c r="F30" s="18" t="s">
        <v>33</v>
      </c>
      <c r="G30" s="18" t="s">
        <v>146</v>
      </c>
      <c r="H30" s="18" t="s">
        <v>7</v>
      </c>
      <c r="I30" s="18" t="s">
        <v>156</v>
      </c>
      <c r="J30" s="19">
        <f>VLOOKUP(E30,Configurações!$K$5:$L$15,2,FALSE)</f>
        <v>12</v>
      </c>
      <c r="K30" s="18" t="str">
        <f t="shared" si="2"/>
        <v/>
      </c>
      <c r="L30" s="18" t="s">
        <v>27</v>
      </c>
      <c r="M30" s="18" t="str">
        <f t="shared" si="0"/>
        <v/>
      </c>
      <c r="N30" s="16"/>
      <c r="O30" s="16" t="str">
        <f t="shared" ca="1" si="1"/>
        <v/>
      </c>
    </row>
  </sheetData>
  <autoFilter ref="C4:O30"/>
  <mergeCells count="1">
    <mergeCell ref="C2:O2"/>
  </mergeCells>
  <conditionalFormatting sqref="O5:O30">
    <cfRule type="cellIs" dxfId="5" priority="3" operator="equal">
      <formula>"Recebido"</formula>
    </cfRule>
  </conditionalFormatting>
  <conditionalFormatting sqref="O5:O30">
    <cfRule type="containsText" dxfId="4" priority="2" operator="containsText" text="Próximo">
      <formula>NOT(ISERROR(SEARCH("Próximo",O5)))</formula>
    </cfRule>
  </conditionalFormatting>
  <conditionalFormatting sqref="O5:O30">
    <cfRule type="containsText" dxfId="3" priority="1" operator="containsText" text="Vencido">
      <formula>NOT(ISERROR(SEARCH("Vencido",O5)))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Configurações!$K$5:$K$15</xm:f>
          </x14:formula1>
          <xm:sqref>E5:E30</xm:sqref>
        </x14:dataValidation>
        <x14:dataValidation type="list" allowBlank="1" showInputMessage="1" showErrorMessage="1">
          <x14:formula1>
            <xm:f>Configurações!$I$5:$I$10</xm:f>
          </x14:formula1>
          <xm:sqref>F5:F30</xm:sqref>
        </x14:dataValidation>
        <x14:dataValidation type="list" allowBlank="1" showInputMessage="1" showErrorMessage="1">
          <x14:formula1>
            <xm:f>Configurações!$C$5:$C$10</xm:f>
          </x14:formula1>
          <xm:sqref>H5:H30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N30"/>
  <sheetViews>
    <sheetView showGridLines="0" showRowColHeaders="0" workbookViewId="0">
      <pane xSplit="1" ySplit="4" topLeftCell="G13" activePane="bottomRight" state="frozen"/>
      <selection pane="topRight" activeCell="B1" sqref="B1"/>
      <selection pane="bottomLeft" activeCell="A5" sqref="A5"/>
      <selection pane="bottomRight" activeCell="K21" sqref="K21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6.42578125" bestFit="1" customWidth="1"/>
    <col min="6" max="6" width="19.7109375" bestFit="1" customWidth="1"/>
    <col min="7" max="7" width="17.85546875" bestFit="1" customWidth="1"/>
    <col min="8" max="8" width="29.42578125" bestFit="1" customWidth="1"/>
    <col min="9" max="9" width="11.7109375" bestFit="1" customWidth="1"/>
    <col min="10" max="10" width="10.7109375" bestFit="1" customWidth="1"/>
    <col min="11" max="11" width="13.5703125" bestFit="1" customWidth="1"/>
    <col min="12" max="12" width="13.5703125" customWidth="1"/>
    <col min="13" max="13" width="17.7109375" bestFit="1" customWidth="1"/>
    <col min="14" max="14" width="28.5703125" bestFit="1" customWidth="1"/>
  </cols>
  <sheetData>
    <row r="1" spans="3:14" ht="9.9499999999999993" customHeight="1" x14ac:dyDescent="0.25"/>
    <row r="2" spans="3:14" x14ac:dyDescent="0.25">
      <c r="C2" s="39" t="s">
        <v>92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3:14" ht="9.9499999999999993" customHeight="1" x14ac:dyDescent="0.25"/>
    <row r="4" spans="3:14" ht="15.75" thickBot="1" x14ac:dyDescent="0.3">
      <c r="C4" s="12" t="s">
        <v>58</v>
      </c>
      <c r="D4" s="12" t="s">
        <v>59</v>
      </c>
      <c r="E4" s="12" t="s">
        <v>60</v>
      </c>
      <c r="F4" s="12" t="s">
        <v>93</v>
      </c>
      <c r="G4" s="12" t="s">
        <v>62</v>
      </c>
      <c r="H4" s="12" t="s">
        <v>94</v>
      </c>
      <c r="I4" s="12" t="s">
        <v>64</v>
      </c>
      <c r="J4" s="12" t="s">
        <v>95</v>
      </c>
      <c r="K4" s="12" t="s">
        <v>96</v>
      </c>
      <c r="L4" s="12" t="s">
        <v>67</v>
      </c>
      <c r="M4" s="12" t="s">
        <v>97</v>
      </c>
      <c r="N4" s="12" t="s">
        <v>69</v>
      </c>
    </row>
    <row r="5" spans="3:14" ht="15.75" thickBot="1" x14ac:dyDescent="0.3">
      <c r="C5" s="16">
        <v>42736</v>
      </c>
      <c r="D5" s="18" t="s">
        <v>87</v>
      </c>
      <c r="E5" s="18" t="s">
        <v>32</v>
      </c>
      <c r="F5" s="18" t="s">
        <v>137</v>
      </c>
      <c r="G5" s="18" t="s">
        <v>8</v>
      </c>
      <c r="H5" s="18" t="s">
        <v>98</v>
      </c>
      <c r="I5" s="21">
        <v>34</v>
      </c>
      <c r="J5" s="18" t="str">
        <f>IF(ISBLANK(M5)&lt;&gt;TRUE,"S","")</f>
        <v>S</v>
      </c>
      <c r="K5" s="18" t="s">
        <v>26</v>
      </c>
      <c r="L5" s="18" t="str">
        <f t="shared" ref="L5:L30" si="0">IF(ISBLANK(M5)=TRUE,"",UPPER(TEXT(M5,"MMM")))</f>
        <v>JAN</v>
      </c>
      <c r="M5" s="16">
        <v>42736</v>
      </c>
      <c r="N5" s="16" t="str">
        <f ca="1">IF(ISBLANK(C5)=TRUE,"",IF(J5&lt;&gt;"S",IF(C5-TODAY()&lt;0,"Vencido",IF(C5-TODAY()&lt;7,"Proximo do Vencimento, faltam "&amp;C5-TODAY()&amp;" Dias","A Pagar")),"Pagamento Realizado"))</f>
        <v>Pagamento Realizado</v>
      </c>
    </row>
    <row r="6" spans="3:14" ht="15.75" thickBot="1" x14ac:dyDescent="0.3">
      <c r="C6" s="16">
        <v>42748</v>
      </c>
      <c r="D6" s="18" t="s">
        <v>91</v>
      </c>
      <c r="E6" s="18" t="s">
        <v>33</v>
      </c>
      <c r="F6" s="18" t="s">
        <v>138</v>
      </c>
      <c r="G6" s="18" t="s">
        <v>9</v>
      </c>
      <c r="H6" s="18" t="s">
        <v>71</v>
      </c>
      <c r="I6" s="19">
        <v>31</v>
      </c>
      <c r="J6" s="18" t="str">
        <f t="shared" ref="J6:J30" si="1">IF(ISBLANK(M6)&lt;&gt;TRUE,"S","")</f>
        <v>S</v>
      </c>
      <c r="K6" s="18" t="s">
        <v>26</v>
      </c>
      <c r="L6" s="18" t="str">
        <f t="shared" si="0"/>
        <v>JAN</v>
      </c>
      <c r="M6" s="16">
        <v>42748</v>
      </c>
      <c r="N6" s="16" t="str">
        <f t="shared" ref="N6:N30" ca="1" si="2">IF(ISBLANK(C6)=TRUE,"",IF(J6&lt;&gt;"S",IF(C6-TODAY()&lt;0,"Vencido",IF(C6-TODAY()&lt;7,"Proximo do Vencimento, faltam "&amp;C6-TODAY()&amp;" Dias","A Pagar")),"Pagamento Realizado"))</f>
        <v>Pagamento Realizado</v>
      </c>
    </row>
    <row r="7" spans="3:14" ht="15.75" thickBot="1" x14ac:dyDescent="0.3">
      <c r="C7" s="16">
        <v>42747</v>
      </c>
      <c r="D7" s="18" t="s">
        <v>89</v>
      </c>
      <c r="E7" s="18" t="s">
        <v>32</v>
      </c>
      <c r="F7" s="18" t="s">
        <v>139</v>
      </c>
      <c r="G7" s="18" t="s">
        <v>10</v>
      </c>
      <c r="H7" s="18" t="s">
        <v>99</v>
      </c>
      <c r="I7" s="19">
        <v>21</v>
      </c>
      <c r="J7" s="18" t="str">
        <f t="shared" si="1"/>
        <v>S</v>
      </c>
      <c r="K7" s="18" t="s">
        <v>29</v>
      </c>
      <c r="L7" s="18" t="str">
        <f t="shared" si="0"/>
        <v>JAN</v>
      </c>
      <c r="M7" s="16">
        <v>42747</v>
      </c>
      <c r="N7" s="16" t="str">
        <f t="shared" ca="1" si="2"/>
        <v>Pagamento Realizado</v>
      </c>
    </row>
    <row r="8" spans="3:14" ht="15.75" thickBot="1" x14ac:dyDescent="0.3">
      <c r="C8" s="16">
        <v>42781</v>
      </c>
      <c r="D8" s="18" t="s">
        <v>87</v>
      </c>
      <c r="E8" s="18" t="s">
        <v>33</v>
      </c>
      <c r="F8" s="18" t="s">
        <v>140</v>
      </c>
      <c r="G8" s="18" t="s">
        <v>11</v>
      </c>
      <c r="H8" s="18" t="s">
        <v>100</v>
      </c>
      <c r="I8" s="19">
        <v>23</v>
      </c>
      <c r="J8" s="18" t="str">
        <f t="shared" si="1"/>
        <v>S</v>
      </c>
      <c r="K8" s="18" t="s">
        <v>26</v>
      </c>
      <c r="L8" s="18" t="str">
        <f t="shared" si="0"/>
        <v>FEV</v>
      </c>
      <c r="M8" s="16">
        <v>42781</v>
      </c>
      <c r="N8" s="16" t="str">
        <f t="shared" ca="1" si="2"/>
        <v>Pagamento Realizado</v>
      </c>
    </row>
    <row r="9" spans="3:14" ht="15.75" thickBot="1" x14ac:dyDescent="0.3">
      <c r="C9" s="16">
        <v>42767</v>
      </c>
      <c r="D9" s="18" t="s">
        <v>78</v>
      </c>
      <c r="E9" s="18" t="s">
        <v>32</v>
      </c>
      <c r="F9" s="18" t="s">
        <v>141</v>
      </c>
      <c r="G9" s="18" t="s">
        <v>12</v>
      </c>
      <c r="H9" s="18" t="s">
        <v>73</v>
      </c>
      <c r="I9" s="19">
        <v>28</v>
      </c>
      <c r="J9" s="18" t="str">
        <f t="shared" si="1"/>
        <v>S</v>
      </c>
      <c r="K9" s="18" t="s">
        <v>29</v>
      </c>
      <c r="L9" s="18" t="str">
        <f t="shared" si="0"/>
        <v>FEV</v>
      </c>
      <c r="M9" s="16">
        <v>42767</v>
      </c>
      <c r="N9" s="16" t="str">
        <f t="shared" ca="1" si="2"/>
        <v>Pagamento Realizado</v>
      </c>
    </row>
    <row r="10" spans="3:14" ht="15.75" thickBot="1" x14ac:dyDescent="0.3">
      <c r="C10" s="16">
        <v>42779</v>
      </c>
      <c r="D10" s="18" t="s">
        <v>80</v>
      </c>
      <c r="E10" s="18" t="s">
        <v>33</v>
      </c>
      <c r="F10" s="18" t="s">
        <v>142</v>
      </c>
      <c r="G10" s="18" t="s">
        <v>8</v>
      </c>
      <c r="H10" s="18" t="s">
        <v>98</v>
      </c>
      <c r="I10" s="19">
        <v>20</v>
      </c>
      <c r="J10" s="18" t="str">
        <f t="shared" si="1"/>
        <v>S</v>
      </c>
      <c r="K10" s="18" t="s">
        <v>26</v>
      </c>
      <c r="L10" s="18" t="str">
        <f t="shared" si="0"/>
        <v>FEV</v>
      </c>
      <c r="M10" s="16">
        <v>42779</v>
      </c>
      <c r="N10" s="16" t="str">
        <f t="shared" ca="1" si="2"/>
        <v>Pagamento Realizado</v>
      </c>
    </row>
    <row r="11" spans="3:14" ht="15.75" thickBot="1" x14ac:dyDescent="0.3">
      <c r="C11" s="16">
        <v>42778</v>
      </c>
      <c r="D11" s="18" t="s">
        <v>82</v>
      </c>
      <c r="E11" s="18" t="s">
        <v>32</v>
      </c>
      <c r="F11" s="18" t="s">
        <v>143</v>
      </c>
      <c r="G11" s="18" t="s">
        <v>9</v>
      </c>
      <c r="H11" s="18" t="s">
        <v>71</v>
      </c>
      <c r="I11" s="19">
        <v>39</v>
      </c>
      <c r="J11" s="18" t="str">
        <f t="shared" si="1"/>
        <v>S</v>
      </c>
      <c r="K11" s="18" t="s">
        <v>25</v>
      </c>
      <c r="L11" s="18" t="str">
        <f t="shared" si="0"/>
        <v>FEV</v>
      </c>
      <c r="M11" s="16">
        <v>42778</v>
      </c>
      <c r="N11" s="16" t="str">
        <f t="shared" ca="1" si="2"/>
        <v>Pagamento Realizado</v>
      </c>
    </row>
    <row r="12" spans="3:14" ht="15.75" thickBot="1" x14ac:dyDescent="0.3">
      <c r="C12" s="16">
        <v>42809</v>
      </c>
      <c r="D12" s="18" t="s">
        <v>70</v>
      </c>
      <c r="E12" s="18" t="s">
        <v>33</v>
      </c>
      <c r="F12" s="18" t="s">
        <v>144</v>
      </c>
      <c r="G12" s="18" t="s">
        <v>10</v>
      </c>
      <c r="H12" s="18" t="s">
        <v>99</v>
      </c>
      <c r="I12" s="19">
        <v>24</v>
      </c>
      <c r="J12" s="18" t="str">
        <f t="shared" si="1"/>
        <v>S</v>
      </c>
      <c r="K12" s="18" t="s">
        <v>77</v>
      </c>
      <c r="L12" s="18" t="str">
        <f t="shared" si="0"/>
        <v>MAR</v>
      </c>
      <c r="M12" s="16">
        <v>42809</v>
      </c>
      <c r="N12" s="16" t="str">
        <f t="shared" ca="1" si="2"/>
        <v>Pagamento Realizado</v>
      </c>
    </row>
    <row r="13" spans="3:14" ht="15.75" thickBot="1" x14ac:dyDescent="0.3">
      <c r="C13" s="16">
        <v>42826</v>
      </c>
      <c r="D13" s="18" t="s">
        <v>85</v>
      </c>
      <c r="E13" s="18" t="s">
        <v>79</v>
      </c>
      <c r="F13" s="18" t="s">
        <v>145</v>
      </c>
      <c r="G13" s="18" t="s">
        <v>11</v>
      </c>
      <c r="H13" s="18" t="s">
        <v>100</v>
      </c>
      <c r="I13" s="19">
        <v>24</v>
      </c>
      <c r="J13" s="18" t="str">
        <f t="shared" si="1"/>
        <v>S</v>
      </c>
      <c r="K13" s="18" t="s">
        <v>26</v>
      </c>
      <c r="L13" s="18" t="str">
        <f t="shared" si="0"/>
        <v>ABR</v>
      </c>
      <c r="M13" s="16">
        <v>42826</v>
      </c>
      <c r="N13" s="16" t="str">
        <f t="shared" ca="1" si="2"/>
        <v>Pagamento Realizado</v>
      </c>
    </row>
    <row r="14" spans="3:14" ht="15.75" thickBot="1" x14ac:dyDescent="0.3">
      <c r="C14" s="16">
        <v>42807</v>
      </c>
      <c r="D14" s="18" t="s">
        <v>90</v>
      </c>
      <c r="E14" s="18" t="s">
        <v>32</v>
      </c>
      <c r="F14" s="18" t="s">
        <v>146</v>
      </c>
      <c r="G14" s="18" t="s">
        <v>8</v>
      </c>
      <c r="H14" s="18" t="s">
        <v>98</v>
      </c>
      <c r="I14" s="19">
        <v>43</v>
      </c>
      <c r="J14" s="18" t="str">
        <f t="shared" si="1"/>
        <v>S</v>
      </c>
      <c r="K14" s="18" t="s">
        <v>25</v>
      </c>
      <c r="L14" s="18" t="str">
        <f t="shared" si="0"/>
        <v>MAR</v>
      </c>
      <c r="M14" s="16">
        <v>42807</v>
      </c>
      <c r="N14" s="16" t="str">
        <f t="shared" ca="1" si="2"/>
        <v>Pagamento Realizado</v>
      </c>
    </row>
    <row r="15" spans="3:14" ht="15.75" thickBot="1" x14ac:dyDescent="0.3">
      <c r="C15" s="16">
        <v>42806</v>
      </c>
      <c r="D15" s="18" t="s">
        <v>76</v>
      </c>
      <c r="E15" s="18" t="s">
        <v>33</v>
      </c>
      <c r="F15" s="18" t="s">
        <v>147</v>
      </c>
      <c r="G15" s="18" t="s">
        <v>9</v>
      </c>
      <c r="H15" s="18" t="s">
        <v>71</v>
      </c>
      <c r="I15" s="19">
        <v>45</v>
      </c>
      <c r="J15" s="18" t="str">
        <f t="shared" si="1"/>
        <v>S</v>
      </c>
      <c r="K15" s="18" t="s">
        <v>77</v>
      </c>
      <c r="L15" s="18" t="str">
        <f t="shared" si="0"/>
        <v>MAR</v>
      </c>
      <c r="M15" s="16">
        <v>42806</v>
      </c>
      <c r="N15" s="16" t="str">
        <f t="shared" ca="1" si="2"/>
        <v>Pagamento Realizado</v>
      </c>
    </row>
    <row r="16" spans="3:14" ht="15.75" thickBot="1" x14ac:dyDescent="0.3">
      <c r="C16" s="16">
        <v>42870</v>
      </c>
      <c r="D16" s="18" t="s">
        <v>75</v>
      </c>
      <c r="E16" s="18" t="s">
        <v>79</v>
      </c>
      <c r="F16" s="18" t="s">
        <v>148</v>
      </c>
      <c r="G16" s="18" t="s">
        <v>10</v>
      </c>
      <c r="H16" s="18" t="s">
        <v>99</v>
      </c>
      <c r="I16" s="19">
        <v>33</v>
      </c>
      <c r="J16" s="18" t="str">
        <f t="shared" si="1"/>
        <v>S</v>
      </c>
      <c r="K16" s="18" t="s">
        <v>27</v>
      </c>
      <c r="L16" s="18" t="str">
        <f t="shared" si="0"/>
        <v>MAI</v>
      </c>
      <c r="M16" s="16">
        <v>42870</v>
      </c>
      <c r="N16" s="16" t="str">
        <f t="shared" ca="1" si="2"/>
        <v>Pagamento Realizado</v>
      </c>
    </row>
    <row r="17" spans="3:14" ht="15.75" thickBot="1" x14ac:dyDescent="0.3">
      <c r="C17" s="16">
        <v>42887</v>
      </c>
      <c r="D17" s="18" t="s">
        <v>81</v>
      </c>
      <c r="E17" s="18" t="s">
        <v>32</v>
      </c>
      <c r="F17" s="18" t="s">
        <v>149</v>
      </c>
      <c r="G17" s="18" t="s">
        <v>11</v>
      </c>
      <c r="H17" s="18" t="s">
        <v>100</v>
      </c>
      <c r="I17" s="19">
        <v>40</v>
      </c>
      <c r="J17" s="18" t="str">
        <f t="shared" si="1"/>
        <v>S</v>
      </c>
      <c r="K17" s="18" t="s">
        <v>30</v>
      </c>
      <c r="L17" s="18" t="str">
        <f t="shared" si="0"/>
        <v>JUN</v>
      </c>
      <c r="M17" s="16">
        <v>42887</v>
      </c>
      <c r="N17" s="16" t="str">
        <f t="shared" ca="1" si="2"/>
        <v>Pagamento Realizado</v>
      </c>
    </row>
    <row r="18" spans="3:14" ht="15.75" thickBot="1" x14ac:dyDescent="0.3">
      <c r="C18" s="16">
        <v>42868</v>
      </c>
      <c r="D18" s="18" t="s">
        <v>86</v>
      </c>
      <c r="E18" s="18" t="s">
        <v>32</v>
      </c>
      <c r="F18" s="18" t="s">
        <v>150</v>
      </c>
      <c r="G18" s="18" t="s">
        <v>12</v>
      </c>
      <c r="H18" s="18" t="s">
        <v>73</v>
      </c>
      <c r="I18" s="19">
        <v>26</v>
      </c>
      <c r="J18" s="18" t="str">
        <f t="shared" si="1"/>
        <v/>
      </c>
      <c r="K18" s="18" t="s">
        <v>26</v>
      </c>
      <c r="L18" s="18" t="str">
        <f t="shared" si="0"/>
        <v/>
      </c>
      <c r="M18" s="16"/>
      <c r="N18" s="16" t="str">
        <f t="shared" ca="1" si="2"/>
        <v>Vencido</v>
      </c>
    </row>
    <row r="19" spans="3:14" ht="15.75" thickBot="1" x14ac:dyDescent="0.3">
      <c r="C19" s="16">
        <v>42959</v>
      </c>
      <c r="D19" s="18" t="s">
        <v>75</v>
      </c>
      <c r="E19" s="18" t="s">
        <v>33</v>
      </c>
      <c r="F19" s="18" t="s">
        <v>151</v>
      </c>
      <c r="G19" s="18" t="s">
        <v>13</v>
      </c>
      <c r="H19" s="18" t="s">
        <v>101</v>
      </c>
      <c r="I19" s="19">
        <v>36</v>
      </c>
      <c r="J19" s="18" t="str">
        <f t="shared" si="1"/>
        <v/>
      </c>
      <c r="K19" s="18" t="s">
        <v>25</v>
      </c>
      <c r="L19" s="18" t="str">
        <f t="shared" si="0"/>
        <v/>
      </c>
      <c r="M19" s="16"/>
      <c r="N19" s="16" t="str">
        <f t="shared" ca="1" si="2"/>
        <v>A Pagar</v>
      </c>
    </row>
    <row r="20" spans="3:14" ht="15.75" thickBot="1" x14ac:dyDescent="0.3">
      <c r="C20" s="16">
        <v>42931</v>
      </c>
      <c r="D20" s="18" t="s">
        <v>87</v>
      </c>
      <c r="E20" s="18" t="s">
        <v>32</v>
      </c>
      <c r="F20" s="18" t="s">
        <v>152</v>
      </c>
      <c r="G20" s="18" t="s">
        <v>8</v>
      </c>
      <c r="H20" s="18" t="s">
        <v>98</v>
      </c>
      <c r="I20" s="19">
        <v>28</v>
      </c>
      <c r="J20" s="18" t="str">
        <f t="shared" si="1"/>
        <v/>
      </c>
      <c r="K20" s="18" t="s">
        <v>77</v>
      </c>
      <c r="L20" s="18" t="str">
        <f t="shared" si="0"/>
        <v/>
      </c>
      <c r="M20" s="16"/>
      <c r="N20" s="16" t="str">
        <f t="shared" ca="1" si="2"/>
        <v>Vencido</v>
      </c>
    </row>
    <row r="21" spans="3:14" ht="15.75" thickBot="1" x14ac:dyDescent="0.3">
      <c r="C21" s="16">
        <v>42948</v>
      </c>
      <c r="D21" s="18" t="s">
        <v>76</v>
      </c>
      <c r="E21" s="18" t="s">
        <v>33</v>
      </c>
      <c r="F21" s="18" t="s">
        <v>137</v>
      </c>
      <c r="G21" s="18" t="s">
        <v>9</v>
      </c>
      <c r="H21" s="18" t="s">
        <v>71</v>
      </c>
      <c r="I21" s="19">
        <v>38</v>
      </c>
      <c r="J21" s="18" t="str">
        <f t="shared" si="1"/>
        <v/>
      </c>
      <c r="K21" s="18" t="s">
        <v>27</v>
      </c>
      <c r="L21" s="18" t="str">
        <f t="shared" si="0"/>
        <v/>
      </c>
      <c r="M21" s="16"/>
      <c r="N21" s="16" t="str">
        <f t="shared" ca="1" si="2"/>
        <v>Proximo do Vencimento, faltam 6 Dias</v>
      </c>
    </row>
    <row r="22" spans="3:14" ht="15.75" thickBot="1" x14ac:dyDescent="0.3">
      <c r="C22" s="16">
        <v>42868</v>
      </c>
      <c r="D22" s="18" t="s">
        <v>84</v>
      </c>
      <c r="E22" s="18" t="s">
        <v>79</v>
      </c>
      <c r="F22" s="18" t="s">
        <v>138</v>
      </c>
      <c r="G22" s="18" t="s">
        <v>10</v>
      </c>
      <c r="H22" s="18" t="s">
        <v>99</v>
      </c>
      <c r="I22" s="19">
        <v>45</v>
      </c>
      <c r="J22" s="18" t="str">
        <f t="shared" si="1"/>
        <v/>
      </c>
      <c r="K22" s="18" t="s">
        <v>26</v>
      </c>
      <c r="L22" s="18" t="str">
        <f t="shared" si="0"/>
        <v/>
      </c>
      <c r="M22" s="16"/>
      <c r="N22" s="16" t="str">
        <f t="shared" ca="1" si="2"/>
        <v>Vencido</v>
      </c>
    </row>
    <row r="23" spans="3:14" ht="15.75" thickBot="1" x14ac:dyDescent="0.3">
      <c r="C23" s="16">
        <v>42990</v>
      </c>
      <c r="D23" s="18" t="s">
        <v>82</v>
      </c>
      <c r="E23" s="18" t="s">
        <v>32</v>
      </c>
      <c r="F23" s="18" t="s">
        <v>139</v>
      </c>
      <c r="G23" s="18" t="s">
        <v>11</v>
      </c>
      <c r="H23" s="18" t="s">
        <v>100</v>
      </c>
      <c r="I23" s="19">
        <v>27</v>
      </c>
      <c r="J23" s="18" t="str">
        <f t="shared" si="1"/>
        <v/>
      </c>
      <c r="K23" s="18" t="s">
        <v>25</v>
      </c>
      <c r="L23" s="18" t="str">
        <f t="shared" si="0"/>
        <v/>
      </c>
      <c r="M23" s="16"/>
      <c r="N23" s="16" t="str">
        <f t="shared" ca="1" si="2"/>
        <v>A Pagar</v>
      </c>
    </row>
    <row r="24" spans="3:14" ht="15.75" thickBot="1" x14ac:dyDescent="0.3">
      <c r="C24" s="16">
        <v>43023</v>
      </c>
      <c r="D24" s="18" t="s">
        <v>82</v>
      </c>
      <c r="E24" s="18" t="s">
        <v>33</v>
      </c>
      <c r="F24" s="18" t="s">
        <v>140</v>
      </c>
      <c r="G24" s="18" t="s">
        <v>12</v>
      </c>
      <c r="H24" s="18" t="s">
        <v>73</v>
      </c>
      <c r="I24" s="19">
        <v>33</v>
      </c>
      <c r="J24" s="18" t="str">
        <f t="shared" si="1"/>
        <v/>
      </c>
      <c r="K24" s="18" t="s">
        <v>77</v>
      </c>
      <c r="L24" s="18" t="str">
        <f t="shared" si="0"/>
        <v/>
      </c>
      <c r="M24" s="16"/>
      <c r="N24" s="16" t="str">
        <f t="shared" ca="1" si="2"/>
        <v>A Pagar</v>
      </c>
    </row>
    <row r="25" spans="3:14" ht="15.75" thickBot="1" x14ac:dyDescent="0.3">
      <c r="C25" s="16">
        <v>43009</v>
      </c>
      <c r="D25" s="18" t="s">
        <v>74</v>
      </c>
      <c r="E25" s="18" t="s">
        <v>79</v>
      </c>
      <c r="F25" s="18" t="s">
        <v>141</v>
      </c>
      <c r="G25" s="18" t="s">
        <v>8</v>
      </c>
      <c r="H25" s="18" t="s">
        <v>98</v>
      </c>
      <c r="I25" s="19">
        <v>42</v>
      </c>
      <c r="J25" s="18" t="str">
        <f t="shared" si="1"/>
        <v/>
      </c>
      <c r="K25" s="18" t="s">
        <v>27</v>
      </c>
      <c r="L25" s="18" t="str">
        <f t="shared" si="0"/>
        <v/>
      </c>
      <c r="M25" s="16"/>
      <c r="N25" s="16" t="str">
        <f t="shared" ca="1" si="2"/>
        <v>A Pagar</v>
      </c>
    </row>
    <row r="26" spans="3:14" ht="15.75" thickBot="1" x14ac:dyDescent="0.3">
      <c r="C26" s="16">
        <v>43052</v>
      </c>
      <c r="D26" s="18" t="s">
        <v>83</v>
      </c>
      <c r="E26" s="18" t="s">
        <v>32</v>
      </c>
      <c r="F26" s="18" t="s">
        <v>142</v>
      </c>
      <c r="G26" s="18" t="s">
        <v>9</v>
      </c>
      <c r="H26" s="18" t="s">
        <v>71</v>
      </c>
      <c r="I26" s="19">
        <v>25</v>
      </c>
      <c r="J26" s="18" t="str">
        <f t="shared" si="1"/>
        <v/>
      </c>
      <c r="K26" s="18" t="s">
        <v>30</v>
      </c>
      <c r="L26" s="18" t="str">
        <f t="shared" si="0"/>
        <v/>
      </c>
      <c r="M26" s="16"/>
      <c r="N26" s="16" t="str">
        <f t="shared" ca="1" si="2"/>
        <v>A Pagar</v>
      </c>
    </row>
    <row r="27" spans="3:14" ht="15.75" thickBot="1" x14ac:dyDescent="0.3">
      <c r="C27" s="16">
        <v>43020</v>
      </c>
      <c r="D27" s="18" t="s">
        <v>72</v>
      </c>
      <c r="E27" s="18" t="s">
        <v>33</v>
      </c>
      <c r="F27" s="18" t="s">
        <v>143</v>
      </c>
      <c r="G27" s="18" t="s">
        <v>10</v>
      </c>
      <c r="H27" s="18" t="s">
        <v>99</v>
      </c>
      <c r="I27" s="19">
        <v>33</v>
      </c>
      <c r="J27" s="18" t="str">
        <f t="shared" si="1"/>
        <v/>
      </c>
      <c r="K27" s="18" t="s">
        <v>26</v>
      </c>
      <c r="L27" s="18" t="str">
        <f t="shared" si="0"/>
        <v/>
      </c>
      <c r="M27" s="16"/>
      <c r="N27" s="16" t="str">
        <f t="shared" ca="1" si="2"/>
        <v>A Pagar</v>
      </c>
    </row>
    <row r="28" spans="3:14" ht="15.75" thickBot="1" x14ac:dyDescent="0.3">
      <c r="C28" s="16">
        <v>43054</v>
      </c>
      <c r="D28" s="18" t="s">
        <v>78</v>
      </c>
      <c r="E28" s="18" t="s">
        <v>79</v>
      </c>
      <c r="F28" s="18" t="s">
        <v>144</v>
      </c>
      <c r="G28" s="18" t="s">
        <v>11</v>
      </c>
      <c r="H28" s="18" t="s">
        <v>100</v>
      </c>
      <c r="I28" s="19">
        <v>40</v>
      </c>
      <c r="J28" s="18" t="str">
        <f t="shared" si="1"/>
        <v/>
      </c>
      <c r="K28" s="18" t="s">
        <v>25</v>
      </c>
      <c r="L28" s="18" t="str">
        <f t="shared" si="0"/>
        <v/>
      </c>
      <c r="M28" s="16"/>
      <c r="N28" s="16" t="str">
        <f t="shared" ca="1" si="2"/>
        <v>A Pagar</v>
      </c>
    </row>
    <row r="29" spans="3:14" ht="15.75" thickBot="1" x14ac:dyDescent="0.3">
      <c r="C29" s="16">
        <v>43070</v>
      </c>
      <c r="D29" s="18" t="s">
        <v>88</v>
      </c>
      <c r="E29" s="18" t="s">
        <v>32</v>
      </c>
      <c r="F29" s="18" t="s">
        <v>145</v>
      </c>
      <c r="G29" s="18" t="s">
        <v>12</v>
      </c>
      <c r="H29" s="18" t="s">
        <v>73</v>
      </c>
      <c r="I29" s="19">
        <v>27</v>
      </c>
      <c r="J29" s="18" t="str">
        <f t="shared" si="1"/>
        <v/>
      </c>
      <c r="K29" s="18" t="s">
        <v>77</v>
      </c>
      <c r="L29" s="18" t="str">
        <f t="shared" si="0"/>
        <v/>
      </c>
      <c r="M29" s="16"/>
      <c r="N29" s="16" t="str">
        <f t="shared" ca="1" si="2"/>
        <v>A Pagar</v>
      </c>
    </row>
    <row r="30" spans="3:14" ht="15.75" thickBot="1" x14ac:dyDescent="0.3">
      <c r="C30" s="16">
        <v>43082</v>
      </c>
      <c r="D30" s="18" t="s">
        <v>75</v>
      </c>
      <c r="E30" s="18" t="s">
        <v>33</v>
      </c>
      <c r="F30" s="18" t="s">
        <v>146</v>
      </c>
      <c r="G30" s="18" t="s">
        <v>13</v>
      </c>
      <c r="H30" s="18" t="s">
        <v>101</v>
      </c>
      <c r="I30" s="19">
        <v>35</v>
      </c>
      <c r="J30" s="18" t="str">
        <f t="shared" si="1"/>
        <v/>
      </c>
      <c r="K30" s="18" t="s">
        <v>27</v>
      </c>
      <c r="L30" s="18" t="str">
        <f t="shared" si="0"/>
        <v/>
      </c>
      <c r="M30" s="16"/>
      <c r="N30" s="16" t="str">
        <f t="shared" ca="1" si="2"/>
        <v>A Pagar</v>
      </c>
    </row>
  </sheetData>
  <mergeCells count="1">
    <mergeCell ref="C2:N2"/>
  </mergeCells>
  <conditionalFormatting sqref="N5:N30">
    <cfRule type="containsText" dxfId="2" priority="1" operator="containsText" text="Proximo">
      <formula>NOT(ISERROR(SEARCH("Proximo",N5)))</formula>
    </cfRule>
    <cfRule type="cellIs" dxfId="1" priority="2" operator="equal">
      <formula>"Pagamento Realizado"</formula>
    </cfRule>
    <cfRule type="cellIs" dxfId="0" priority="3" operator="equal">
      <formula>"Vencido"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Configurações!$E$5:$E$19</xm:f>
          </x14:formula1>
          <xm:sqref>G5:G30</xm:sqref>
        </x14:dataValidation>
        <x14:dataValidation type="list" allowBlank="1" showInputMessage="1" showErrorMessage="1">
          <x14:formula1>
            <xm:f>Configurações!$I$5:$I$10</xm:f>
          </x14:formula1>
          <xm:sqref>E5:E30</xm:sqref>
        </x14:dataValidation>
        <x14:dataValidation type="list" allowBlank="1" showInputMessage="1" showErrorMessage="1">
          <x14:formula1>
            <xm:f>Configurações!$G$5:$G$10</xm:f>
          </x14:formula1>
          <xm:sqref>K5:K30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61"/>
  <sheetViews>
    <sheetView showGridLines="0" showRowColHeaders="0" topLeftCell="B7" zoomScale="170" zoomScaleNormal="170" workbookViewId="0">
      <selection activeCell="D14" sqref="D14"/>
    </sheetView>
  </sheetViews>
  <sheetFormatPr defaultRowHeight="14.25" x14ac:dyDescent="0.2"/>
  <cols>
    <col min="1" max="1" width="25.7109375" style="5" customWidth="1"/>
    <col min="2" max="2" width="1.7109375" style="5" customWidth="1"/>
    <col min="3" max="3" width="37.5703125" style="5" bestFit="1" customWidth="1"/>
    <col min="4" max="16" width="13" style="5" customWidth="1"/>
    <col min="17" max="16384" width="9.140625" style="5"/>
  </cols>
  <sheetData>
    <row r="1" spans="3:16" ht="9.9499999999999993" customHeight="1" x14ac:dyDescent="0.2"/>
    <row r="2" spans="3:16" ht="15" x14ac:dyDescent="0.25">
      <c r="C2" s="39" t="s">
        <v>102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3:16" ht="9.9499999999999993" customHeight="1" x14ac:dyDescent="0.2"/>
    <row r="4" spans="3:16" ht="15.75" thickBot="1" x14ac:dyDescent="0.3">
      <c r="C4" s="12" t="s">
        <v>103</v>
      </c>
      <c r="D4" s="12" t="s">
        <v>104</v>
      </c>
      <c r="E4" s="12" t="s">
        <v>105</v>
      </c>
      <c r="F4" s="12" t="s">
        <v>106</v>
      </c>
      <c r="G4" s="12" t="s">
        <v>107</v>
      </c>
      <c r="H4" s="12" t="s">
        <v>108</v>
      </c>
      <c r="I4" s="12" t="s">
        <v>109</v>
      </c>
      <c r="J4" s="12" t="s">
        <v>110</v>
      </c>
      <c r="K4" s="12" t="s">
        <v>111</v>
      </c>
      <c r="L4" s="12" t="s">
        <v>112</v>
      </c>
      <c r="M4" s="12" t="s">
        <v>113</v>
      </c>
      <c r="N4" s="12" t="s">
        <v>114</v>
      </c>
      <c r="O4" s="12" t="s">
        <v>115</v>
      </c>
      <c r="P4" s="12" t="s">
        <v>116</v>
      </c>
    </row>
    <row r="5" spans="3:16" ht="15.75" hidden="1" thickTop="1" thickBot="1" x14ac:dyDescent="0.25">
      <c r="C5" s="9"/>
      <c r="D5" s="10" t="s">
        <v>117</v>
      </c>
      <c r="E5" s="10" t="s">
        <v>118</v>
      </c>
      <c r="F5" s="10" t="s">
        <v>119</v>
      </c>
      <c r="G5" s="10" t="s">
        <v>120</v>
      </c>
      <c r="H5" s="10" t="s">
        <v>121</v>
      </c>
      <c r="I5" s="10" t="s">
        <v>122</v>
      </c>
      <c r="J5" s="10" t="s">
        <v>123</v>
      </c>
      <c r="K5" s="10" t="s">
        <v>124</v>
      </c>
      <c r="L5" s="10" t="s">
        <v>125</v>
      </c>
      <c r="M5" s="10" t="s">
        <v>126</v>
      </c>
      <c r="N5" s="10" t="s">
        <v>127</v>
      </c>
      <c r="O5" s="10" t="s">
        <v>128</v>
      </c>
      <c r="P5" s="10"/>
    </row>
    <row r="6" spans="3:16" ht="16.5" thickTop="1" thickBot="1" x14ac:dyDescent="0.3">
      <c r="C6" s="12" t="s">
        <v>2</v>
      </c>
      <c r="D6" s="20">
        <f>SUMIFS('Contas a Receber'!$J$5:$J$30,'Contas a Receber'!$H$5:$H$30,GRÁFICOS!$C6,'Contas a Receber'!$M$5:$M$30,GRÁFICOS!D$4,'Contas a Receber'!$K$5:$K$30,"S")</f>
        <v>0</v>
      </c>
      <c r="E6" s="20">
        <f>SUMIFS('Contas a Receber'!$J$5:$J$30,'Contas a Receber'!$H$5:$H$30,GRÁFICOS!$C6,'Contas a Receber'!$M$5:$M$30,GRÁFICOS!E$4,'Contas a Receber'!$K$5:$K$30,"S")</f>
        <v>0</v>
      </c>
      <c r="F6" s="20">
        <f>SUMIFS('Contas a Receber'!$J$5:$J$30,'Contas a Receber'!$H$5:$H$30,GRÁFICOS!$C6,'Contas a Receber'!$M$5:$M$30,GRÁFICOS!F$4,'Contas a Receber'!$K$5:$K$30,"S")</f>
        <v>0</v>
      </c>
      <c r="G6" s="20">
        <f>SUMIFS('Contas a Receber'!$J$5:$J$30,'Contas a Receber'!$H$5:$H$30,GRÁFICOS!$C6,'Contas a Receber'!$M$5:$M$30,GRÁFICOS!G$4,'Contas a Receber'!$K$5:$K$30,"S")</f>
        <v>0</v>
      </c>
      <c r="H6" s="20">
        <f>SUMIFS('Contas a Receber'!$J$5:$J$30,'Contas a Receber'!$H$5:$H$30,GRÁFICOS!$C6,'Contas a Receber'!$M$5:$M$30,GRÁFICOS!H$4,'Contas a Receber'!$K$5:$K$30,"S")</f>
        <v>0</v>
      </c>
      <c r="I6" s="20">
        <f>SUMIFS('Contas a Receber'!$J$5:$J$30,'Contas a Receber'!$H$5:$H$30,GRÁFICOS!$C6,'Contas a Receber'!$M$5:$M$30,GRÁFICOS!I$4,'Contas a Receber'!$K$5:$K$30,"S")</f>
        <v>78</v>
      </c>
      <c r="J6" s="20">
        <f>SUMIFS('Contas a Receber'!$J$5:$J$30,'Contas a Receber'!$H$5:$H$30,GRÁFICOS!$C6,'Contas a Receber'!$M$5:$M$30,GRÁFICOS!J$4,'Contas a Receber'!$K$5:$K$30,"S")</f>
        <v>0</v>
      </c>
      <c r="K6" s="20">
        <f>SUMIFS('Contas a Receber'!$J$5:$J$30,'Contas a Receber'!$H$5:$H$30,GRÁFICOS!$C6,'Contas a Receber'!$M$5:$M$30,GRÁFICOS!K$4,'Contas a Receber'!$K$5:$K$30,"S")</f>
        <v>0</v>
      </c>
      <c r="L6" s="20">
        <f>SUMIFS('Contas a Receber'!$J$5:$J$30,'Contas a Receber'!$H$5:$H$30,GRÁFICOS!$C6,'Contas a Receber'!$M$5:$M$30,GRÁFICOS!L$4,'Contas a Receber'!$K$5:$K$30,"S")</f>
        <v>0</v>
      </c>
      <c r="M6" s="20">
        <f>SUMIFS('Contas a Receber'!$J$5:$J$30,'Contas a Receber'!$H$5:$H$30,GRÁFICOS!$C6,'Contas a Receber'!$M$5:$M$30,GRÁFICOS!M$4,'Contas a Receber'!$K$5:$K$30,"S")</f>
        <v>0</v>
      </c>
      <c r="N6" s="20">
        <f>SUMIFS('Contas a Receber'!$J$5:$J$30,'Contas a Receber'!$H$5:$H$30,GRÁFICOS!$C6,'Contas a Receber'!$M$5:$M$30,GRÁFICOS!N$4,'Contas a Receber'!$K$5:$K$30,"S")</f>
        <v>0</v>
      </c>
      <c r="O6" s="20">
        <f>SUMIFS('Contas a Receber'!$J$5:$J$30,'Contas a Receber'!$H$5:$H$30,GRÁFICOS!$C6,'Contas a Receber'!$M$5:$M$30,GRÁFICOS!O$4,'Contas a Receber'!$K$5:$K$30,"S")</f>
        <v>0</v>
      </c>
      <c r="P6" s="27">
        <f>SUM(D6:O6)</f>
        <v>78</v>
      </c>
    </row>
    <row r="7" spans="3:16" ht="16.5" thickTop="1" thickBot="1" x14ac:dyDescent="0.3">
      <c r="C7" s="12" t="s">
        <v>3</v>
      </c>
      <c r="D7" s="20">
        <f>SUMIFS('Contas a Receber'!$J$5:$J$30,'Contas a Receber'!$H$5:$H$30,GRÁFICOS!$C7,'Contas a Receber'!$M$5:$M$30,GRÁFICOS!D$4,'Contas a Receber'!$K$5:$K$30,"S")</f>
        <v>0</v>
      </c>
      <c r="E7" s="20">
        <f>SUMIFS('Contas a Receber'!$J$5:$J$30,'Contas a Receber'!$H$5:$H$30,GRÁFICOS!$C7,'Contas a Receber'!$M$5:$M$30,GRÁFICOS!E$4,'Contas a Receber'!$K$5:$K$30,"S")</f>
        <v>0</v>
      </c>
      <c r="F7" s="20">
        <f>SUMIFS('Contas a Receber'!$J$5:$J$30,'Contas a Receber'!$H$5:$H$30,GRÁFICOS!$C7,'Contas a Receber'!$M$5:$M$30,GRÁFICOS!F$4,'Contas a Receber'!$K$5:$K$30,"S")</f>
        <v>0</v>
      </c>
      <c r="G7" s="20">
        <f>SUMIFS('Contas a Receber'!$J$5:$J$30,'Contas a Receber'!$H$5:$H$30,GRÁFICOS!$C7,'Contas a Receber'!$M$5:$M$30,GRÁFICOS!G$4,'Contas a Receber'!$K$5:$K$30,"S")</f>
        <v>0</v>
      </c>
      <c r="H7" s="20">
        <f>SUMIFS('Contas a Receber'!$J$5:$J$30,'Contas a Receber'!$H$5:$H$30,GRÁFICOS!$C7,'Contas a Receber'!$M$5:$M$30,GRÁFICOS!H$4,'Contas a Receber'!$K$5:$K$30,"S")</f>
        <v>0</v>
      </c>
      <c r="I7" s="20">
        <f>SUMIFS('Contas a Receber'!$J$5:$J$30,'Contas a Receber'!$H$5:$H$30,GRÁFICOS!$C7,'Contas a Receber'!$M$5:$M$30,GRÁFICOS!I$4,'Contas a Receber'!$K$5:$K$30,"S")</f>
        <v>18</v>
      </c>
      <c r="J7" s="20">
        <f>SUMIFS('Contas a Receber'!$J$5:$J$30,'Contas a Receber'!$H$5:$H$30,GRÁFICOS!$C7,'Contas a Receber'!$M$5:$M$30,GRÁFICOS!J$4,'Contas a Receber'!$K$5:$K$30,"S")</f>
        <v>55</v>
      </c>
      <c r="K7" s="20">
        <f>SUMIFS('Contas a Receber'!$J$5:$J$30,'Contas a Receber'!$H$5:$H$30,GRÁFICOS!$C7,'Contas a Receber'!$M$5:$M$30,GRÁFICOS!K$4,'Contas a Receber'!$K$5:$K$30,"S")</f>
        <v>0</v>
      </c>
      <c r="L7" s="20">
        <f>SUMIFS('Contas a Receber'!$J$5:$J$30,'Contas a Receber'!$H$5:$H$30,GRÁFICOS!$C7,'Contas a Receber'!$M$5:$M$30,GRÁFICOS!L$4,'Contas a Receber'!$K$5:$K$30,"S")</f>
        <v>0</v>
      </c>
      <c r="M7" s="20">
        <f>SUMIFS('Contas a Receber'!$J$5:$J$30,'Contas a Receber'!$H$5:$H$30,GRÁFICOS!$C7,'Contas a Receber'!$M$5:$M$30,GRÁFICOS!M$4,'Contas a Receber'!$K$5:$K$30,"S")</f>
        <v>0</v>
      </c>
      <c r="N7" s="20">
        <f>SUMIFS('Contas a Receber'!$J$5:$J$30,'Contas a Receber'!$H$5:$H$30,GRÁFICOS!$C7,'Contas a Receber'!$M$5:$M$30,GRÁFICOS!N$4,'Contas a Receber'!$K$5:$K$30,"S")</f>
        <v>0</v>
      </c>
      <c r="O7" s="20">
        <f>SUMIFS('Contas a Receber'!$J$5:$J$30,'Contas a Receber'!$H$5:$H$30,GRÁFICOS!$C7,'Contas a Receber'!$M$5:$M$30,GRÁFICOS!O$4,'Contas a Receber'!$K$5:$K$30,"S")</f>
        <v>120</v>
      </c>
      <c r="P7" s="27">
        <f t="shared" ref="P7:P28" si="0">SUM(D7:O7)</f>
        <v>193</v>
      </c>
    </row>
    <row r="8" spans="3:16" ht="16.5" thickTop="1" thickBot="1" x14ac:dyDescent="0.3">
      <c r="C8" s="12" t="s">
        <v>4</v>
      </c>
      <c r="D8" s="20">
        <f>SUMIFS('Contas a Receber'!$J$5:$J$30,'Contas a Receber'!$H$5:$H$30,GRÁFICOS!$C8,'Contas a Receber'!$M$5:$M$30,GRÁFICOS!D$4,'Contas a Receber'!$K$5:$K$30,"S")</f>
        <v>0</v>
      </c>
      <c r="E8" s="20">
        <f>SUMIFS('Contas a Receber'!$J$5:$J$30,'Contas a Receber'!$H$5:$H$30,GRÁFICOS!$C8,'Contas a Receber'!$M$5:$M$30,GRÁFICOS!E$4,'Contas a Receber'!$K$5:$K$30,"S")</f>
        <v>0</v>
      </c>
      <c r="F8" s="20">
        <f>SUMIFS('Contas a Receber'!$J$5:$J$30,'Contas a Receber'!$H$5:$H$30,GRÁFICOS!$C8,'Contas a Receber'!$M$5:$M$30,GRÁFICOS!F$4,'Contas a Receber'!$K$5:$K$30,"S")</f>
        <v>0</v>
      </c>
      <c r="G8" s="20">
        <f>SUMIFS('Contas a Receber'!$J$5:$J$30,'Contas a Receber'!$H$5:$H$30,GRÁFICOS!$C8,'Contas a Receber'!$M$5:$M$30,GRÁFICOS!G$4,'Contas a Receber'!$K$5:$K$30,"S")</f>
        <v>0</v>
      </c>
      <c r="H8" s="20">
        <f>SUMIFS('Contas a Receber'!$J$5:$J$30,'Contas a Receber'!$H$5:$H$30,GRÁFICOS!$C8,'Contas a Receber'!$M$5:$M$30,GRÁFICOS!H$4,'Contas a Receber'!$K$5:$K$30,"S")</f>
        <v>0</v>
      </c>
      <c r="I8" s="20">
        <f>SUMIFS('Contas a Receber'!$J$5:$J$30,'Contas a Receber'!$H$5:$H$30,GRÁFICOS!$C8,'Contas a Receber'!$M$5:$M$30,GRÁFICOS!I$4,'Contas a Receber'!$K$5:$K$30,"S")</f>
        <v>15</v>
      </c>
      <c r="J8" s="20">
        <f>SUMIFS('Contas a Receber'!$J$5:$J$30,'Contas a Receber'!$H$5:$H$30,GRÁFICOS!$C8,'Contas a Receber'!$M$5:$M$30,GRÁFICOS!J$4,'Contas a Receber'!$K$5:$K$30,"S")</f>
        <v>95</v>
      </c>
      <c r="K8" s="20">
        <f>SUMIFS('Contas a Receber'!$J$5:$J$30,'Contas a Receber'!$H$5:$H$30,GRÁFICOS!$C8,'Contas a Receber'!$M$5:$M$30,GRÁFICOS!K$4,'Contas a Receber'!$K$5:$K$30,"S")</f>
        <v>0</v>
      </c>
      <c r="L8" s="20">
        <f>SUMIFS('Contas a Receber'!$J$5:$J$30,'Contas a Receber'!$H$5:$H$30,GRÁFICOS!$C8,'Contas a Receber'!$M$5:$M$30,GRÁFICOS!L$4,'Contas a Receber'!$K$5:$K$30,"S")</f>
        <v>0</v>
      </c>
      <c r="M8" s="20">
        <f>SUMIFS('Contas a Receber'!$J$5:$J$30,'Contas a Receber'!$H$5:$H$30,GRÁFICOS!$C8,'Contas a Receber'!$M$5:$M$30,GRÁFICOS!M$4,'Contas a Receber'!$K$5:$K$30,"S")</f>
        <v>0</v>
      </c>
      <c r="N8" s="20">
        <f>SUMIFS('Contas a Receber'!$J$5:$J$30,'Contas a Receber'!$H$5:$H$30,GRÁFICOS!$C8,'Contas a Receber'!$M$5:$M$30,GRÁFICOS!N$4,'Contas a Receber'!$K$5:$K$30,"S")</f>
        <v>0</v>
      </c>
      <c r="O8" s="20">
        <f>SUMIFS('Contas a Receber'!$J$5:$J$30,'Contas a Receber'!$H$5:$H$30,GRÁFICOS!$C8,'Contas a Receber'!$M$5:$M$30,GRÁFICOS!O$4,'Contas a Receber'!$K$5:$K$30,"S")</f>
        <v>48</v>
      </c>
      <c r="P8" s="27">
        <f t="shared" si="0"/>
        <v>158</v>
      </c>
    </row>
    <row r="9" spans="3:16" ht="16.5" thickTop="1" thickBot="1" x14ac:dyDescent="0.3">
      <c r="C9" s="12" t="s">
        <v>5</v>
      </c>
      <c r="D9" s="20">
        <f>SUMIFS('Contas a Receber'!$J$5:$J$30,'Contas a Receber'!$H$5:$H$30,GRÁFICOS!$C9,'Contas a Receber'!$M$5:$M$30,GRÁFICOS!D$4,'Contas a Receber'!$K$5:$K$30,"S")</f>
        <v>0</v>
      </c>
      <c r="E9" s="20">
        <f>SUMIFS('Contas a Receber'!$J$5:$J$30,'Contas a Receber'!$H$5:$H$30,GRÁFICOS!$C9,'Contas a Receber'!$M$5:$M$30,GRÁFICOS!E$4,'Contas a Receber'!$K$5:$K$30,"S")</f>
        <v>0</v>
      </c>
      <c r="F9" s="20">
        <f>SUMIFS('Contas a Receber'!$J$5:$J$30,'Contas a Receber'!$H$5:$H$30,GRÁFICOS!$C9,'Contas a Receber'!$M$5:$M$30,GRÁFICOS!F$4,'Contas a Receber'!$K$5:$K$30,"S")</f>
        <v>0</v>
      </c>
      <c r="G9" s="20">
        <f>SUMIFS('Contas a Receber'!$J$5:$J$30,'Contas a Receber'!$H$5:$H$30,GRÁFICOS!$C9,'Contas a Receber'!$M$5:$M$30,GRÁFICOS!G$4,'Contas a Receber'!$K$5:$K$30,"S")</f>
        <v>0</v>
      </c>
      <c r="H9" s="20">
        <f>SUMIFS('Contas a Receber'!$J$5:$J$30,'Contas a Receber'!$H$5:$H$30,GRÁFICOS!$C9,'Contas a Receber'!$M$5:$M$30,GRÁFICOS!H$4,'Contas a Receber'!$K$5:$K$30,"S")</f>
        <v>0</v>
      </c>
      <c r="I9" s="20">
        <f>SUMIFS('Contas a Receber'!$J$5:$J$30,'Contas a Receber'!$H$5:$H$30,GRÁFICOS!$C9,'Contas a Receber'!$M$5:$M$30,GRÁFICOS!I$4,'Contas a Receber'!$K$5:$K$30,"S")</f>
        <v>60</v>
      </c>
      <c r="J9" s="20">
        <f>SUMIFS('Contas a Receber'!$J$5:$J$30,'Contas a Receber'!$H$5:$H$30,GRÁFICOS!$C9,'Contas a Receber'!$M$5:$M$30,GRÁFICOS!J$4,'Contas a Receber'!$K$5:$K$30,"S")</f>
        <v>40</v>
      </c>
      <c r="K9" s="20">
        <f>SUMIFS('Contas a Receber'!$J$5:$J$30,'Contas a Receber'!$H$5:$H$30,GRÁFICOS!$C9,'Contas a Receber'!$M$5:$M$30,GRÁFICOS!K$4,'Contas a Receber'!$K$5:$K$30,"S")</f>
        <v>0</v>
      </c>
      <c r="L9" s="20">
        <f>SUMIFS('Contas a Receber'!$J$5:$J$30,'Contas a Receber'!$H$5:$H$30,GRÁFICOS!$C9,'Contas a Receber'!$M$5:$M$30,GRÁFICOS!L$4,'Contas a Receber'!$K$5:$K$30,"S")</f>
        <v>0</v>
      </c>
      <c r="M9" s="20">
        <f>SUMIFS('Contas a Receber'!$J$5:$J$30,'Contas a Receber'!$H$5:$H$30,GRÁFICOS!$C9,'Contas a Receber'!$M$5:$M$30,GRÁFICOS!M$4,'Contas a Receber'!$K$5:$K$30,"S")</f>
        <v>0</v>
      </c>
      <c r="N9" s="20">
        <f>SUMIFS('Contas a Receber'!$J$5:$J$30,'Contas a Receber'!$H$5:$H$30,GRÁFICOS!$C9,'Contas a Receber'!$M$5:$M$30,GRÁFICOS!N$4,'Contas a Receber'!$K$5:$K$30,"S")</f>
        <v>0</v>
      </c>
      <c r="O9" s="20">
        <f>SUMIFS('Contas a Receber'!$J$5:$J$30,'Contas a Receber'!$H$5:$H$30,GRÁFICOS!$C9,'Contas a Receber'!$M$5:$M$30,GRÁFICOS!O$4,'Contas a Receber'!$K$5:$K$30,"S")</f>
        <v>0</v>
      </c>
      <c r="P9" s="27">
        <f t="shared" si="0"/>
        <v>100</v>
      </c>
    </row>
    <row r="10" spans="3:16" ht="16.5" thickTop="1" thickBot="1" x14ac:dyDescent="0.3">
      <c r="C10" s="12" t="s">
        <v>6</v>
      </c>
      <c r="D10" s="20">
        <f>SUMIFS('Contas a Receber'!$J$5:$J$30,'Contas a Receber'!$H$5:$H$30,GRÁFICOS!$C10,'Contas a Receber'!$M$5:$M$30,GRÁFICOS!D$4,'Contas a Receber'!$K$5:$K$30,"S")</f>
        <v>0</v>
      </c>
      <c r="E10" s="20">
        <f>SUMIFS('Contas a Receber'!$J$5:$J$30,'Contas a Receber'!$H$5:$H$30,GRÁFICOS!$C10,'Contas a Receber'!$M$5:$M$30,GRÁFICOS!E$4,'Contas a Receber'!$K$5:$K$30,"S")</f>
        <v>0</v>
      </c>
      <c r="F10" s="20">
        <f>SUMIFS('Contas a Receber'!$J$5:$J$30,'Contas a Receber'!$H$5:$H$30,GRÁFICOS!$C10,'Contas a Receber'!$M$5:$M$30,GRÁFICOS!F$4,'Contas a Receber'!$K$5:$K$30,"S")</f>
        <v>0</v>
      </c>
      <c r="G10" s="20">
        <f>SUMIFS('Contas a Receber'!$J$5:$J$30,'Contas a Receber'!$H$5:$H$30,GRÁFICOS!$C10,'Contas a Receber'!$M$5:$M$30,GRÁFICOS!G$4,'Contas a Receber'!$K$5:$K$30,"S")</f>
        <v>0</v>
      </c>
      <c r="H10" s="20">
        <f>SUMIFS('Contas a Receber'!$J$5:$J$30,'Contas a Receber'!$H$5:$H$30,GRÁFICOS!$C10,'Contas a Receber'!$M$5:$M$30,GRÁFICOS!H$4,'Contas a Receber'!$K$5:$K$30,"S")</f>
        <v>0</v>
      </c>
      <c r="I10" s="20">
        <f>SUMIFS('Contas a Receber'!$J$5:$J$30,'Contas a Receber'!$H$5:$H$30,GRÁFICOS!$C10,'Contas a Receber'!$M$5:$M$30,GRÁFICOS!I$4,'Contas a Receber'!$K$5:$K$30,"S")</f>
        <v>170</v>
      </c>
      <c r="J10" s="20">
        <f>SUMIFS('Contas a Receber'!$J$5:$J$30,'Contas a Receber'!$H$5:$H$30,GRÁFICOS!$C10,'Contas a Receber'!$M$5:$M$30,GRÁFICOS!J$4,'Contas a Receber'!$K$5:$K$30,"S")</f>
        <v>0</v>
      </c>
      <c r="K10" s="20">
        <f>SUMIFS('Contas a Receber'!$J$5:$J$30,'Contas a Receber'!$H$5:$H$30,GRÁFICOS!$C10,'Contas a Receber'!$M$5:$M$30,GRÁFICOS!K$4,'Contas a Receber'!$K$5:$K$30,"S")</f>
        <v>0</v>
      </c>
      <c r="L10" s="20">
        <f>SUMIFS('Contas a Receber'!$J$5:$J$30,'Contas a Receber'!$H$5:$H$30,GRÁFICOS!$C10,'Contas a Receber'!$M$5:$M$30,GRÁFICOS!L$4,'Contas a Receber'!$K$5:$K$30,"S")</f>
        <v>0</v>
      </c>
      <c r="M10" s="20">
        <f>SUMIFS('Contas a Receber'!$J$5:$J$30,'Contas a Receber'!$H$5:$H$30,GRÁFICOS!$C10,'Contas a Receber'!$M$5:$M$30,GRÁFICOS!M$4,'Contas a Receber'!$K$5:$K$30,"S")</f>
        <v>0</v>
      </c>
      <c r="N10" s="20">
        <f>SUMIFS('Contas a Receber'!$J$5:$J$30,'Contas a Receber'!$H$5:$H$30,GRÁFICOS!$C10,'Contas a Receber'!$M$5:$M$30,GRÁFICOS!N$4,'Contas a Receber'!$K$5:$K$30,"S")</f>
        <v>0</v>
      </c>
      <c r="O10" s="20">
        <f>SUMIFS('Contas a Receber'!$J$5:$J$30,'Contas a Receber'!$H$5:$H$30,GRÁFICOS!$C10,'Contas a Receber'!$M$5:$M$30,GRÁFICOS!O$4,'Contas a Receber'!$K$5:$K$30,"S")</f>
        <v>0</v>
      </c>
      <c r="P10" s="27">
        <f t="shared" si="0"/>
        <v>170</v>
      </c>
    </row>
    <row r="11" spans="3:16" ht="16.5" thickTop="1" thickBot="1" x14ac:dyDescent="0.3">
      <c r="C11" s="12" t="s">
        <v>7</v>
      </c>
      <c r="D11" s="20">
        <f>SUMIFS('Contas a Receber'!$J$5:$J$30,'Contas a Receber'!$H$5:$H$30,GRÁFICOS!$C11,'Contas a Receber'!$M$5:$M$30,GRÁFICOS!D$4,'Contas a Receber'!$K$5:$K$30,"S")</f>
        <v>20</v>
      </c>
      <c r="E11" s="20">
        <f>SUMIFS('Contas a Receber'!$J$5:$J$30,'Contas a Receber'!$H$5:$H$30,GRÁFICOS!$C11,'Contas a Receber'!$M$5:$M$30,GRÁFICOS!E$4,'Contas a Receber'!$K$5:$K$30,"S")</f>
        <v>0</v>
      </c>
      <c r="F11" s="20">
        <f>SUMIFS('Contas a Receber'!$J$5:$J$30,'Contas a Receber'!$H$5:$H$30,GRÁFICOS!$C11,'Contas a Receber'!$M$5:$M$30,GRÁFICOS!F$4,'Contas a Receber'!$K$5:$K$30,"S")</f>
        <v>0</v>
      </c>
      <c r="G11" s="20">
        <f>SUMIFS('Contas a Receber'!$J$5:$J$30,'Contas a Receber'!$H$5:$H$30,GRÁFICOS!$C11,'Contas a Receber'!$M$5:$M$30,GRÁFICOS!G$4,'Contas a Receber'!$K$5:$K$30,"S")</f>
        <v>0</v>
      </c>
      <c r="H11" s="20">
        <f>SUMIFS('Contas a Receber'!$J$5:$J$30,'Contas a Receber'!$H$5:$H$30,GRÁFICOS!$C11,'Contas a Receber'!$M$5:$M$30,GRÁFICOS!H$4,'Contas a Receber'!$K$5:$K$30,"S")</f>
        <v>0</v>
      </c>
      <c r="I11" s="20">
        <f>SUMIFS('Contas a Receber'!$J$5:$J$30,'Contas a Receber'!$H$5:$H$30,GRÁFICOS!$C11,'Contas a Receber'!$M$5:$M$30,GRÁFICOS!I$4,'Contas a Receber'!$K$5:$K$30,"S")</f>
        <v>95</v>
      </c>
      <c r="J11" s="20">
        <f>SUMIFS('Contas a Receber'!$J$5:$J$30,'Contas a Receber'!$H$5:$H$30,GRÁFICOS!$C11,'Contas a Receber'!$M$5:$M$30,GRÁFICOS!J$4,'Contas a Receber'!$K$5:$K$30,"S")</f>
        <v>0</v>
      </c>
      <c r="K11" s="20">
        <f>SUMIFS('Contas a Receber'!$J$5:$J$30,'Contas a Receber'!$H$5:$H$30,GRÁFICOS!$C11,'Contas a Receber'!$M$5:$M$30,GRÁFICOS!K$4,'Contas a Receber'!$K$5:$K$30,"S")</f>
        <v>0</v>
      </c>
      <c r="L11" s="20">
        <f>SUMIFS('Contas a Receber'!$J$5:$J$30,'Contas a Receber'!$H$5:$H$30,GRÁFICOS!$C11,'Contas a Receber'!$M$5:$M$30,GRÁFICOS!L$4,'Contas a Receber'!$K$5:$K$30,"S")</f>
        <v>0</v>
      </c>
      <c r="M11" s="20">
        <f>SUMIFS('Contas a Receber'!$J$5:$J$30,'Contas a Receber'!$H$5:$H$30,GRÁFICOS!$C11,'Contas a Receber'!$M$5:$M$30,GRÁFICOS!M$4,'Contas a Receber'!$K$5:$K$30,"S")</f>
        <v>0</v>
      </c>
      <c r="N11" s="20">
        <f>SUMIFS('Contas a Receber'!$J$5:$J$30,'Contas a Receber'!$H$5:$H$30,GRÁFICOS!$C11,'Contas a Receber'!$M$5:$M$30,GRÁFICOS!N$4,'Contas a Receber'!$K$5:$K$30,"S")</f>
        <v>0</v>
      </c>
      <c r="O11" s="20">
        <f>SUMIFS('Contas a Receber'!$J$5:$J$30,'Contas a Receber'!$H$5:$H$30,GRÁFICOS!$C11,'Contas a Receber'!$M$5:$M$30,GRÁFICOS!O$4,'Contas a Receber'!$K$5:$K$30,"S")</f>
        <v>0</v>
      </c>
      <c r="P11" s="27">
        <f t="shared" si="0"/>
        <v>115</v>
      </c>
    </row>
    <row r="12" spans="3:16" ht="16.5" thickTop="1" thickBot="1" x14ac:dyDescent="0.3">
      <c r="C12" s="26" t="s">
        <v>54</v>
      </c>
      <c r="D12" s="27">
        <f>SUM(D6:D11)</f>
        <v>20</v>
      </c>
      <c r="E12" s="27">
        <f t="shared" ref="E12:P12" si="1">SUM(E6:E11)</f>
        <v>0</v>
      </c>
      <c r="F12" s="27">
        <f t="shared" si="1"/>
        <v>0</v>
      </c>
      <c r="G12" s="27">
        <f t="shared" si="1"/>
        <v>0</v>
      </c>
      <c r="H12" s="27">
        <f t="shared" si="1"/>
        <v>0</v>
      </c>
      <c r="I12" s="27">
        <f t="shared" si="1"/>
        <v>436</v>
      </c>
      <c r="J12" s="27">
        <f t="shared" si="1"/>
        <v>190</v>
      </c>
      <c r="K12" s="27">
        <f t="shared" si="1"/>
        <v>0</v>
      </c>
      <c r="L12" s="27">
        <f t="shared" si="1"/>
        <v>0</v>
      </c>
      <c r="M12" s="27">
        <f t="shared" si="1"/>
        <v>0</v>
      </c>
      <c r="N12" s="27">
        <f t="shared" si="1"/>
        <v>0</v>
      </c>
      <c r="O12" s="27">
        <f t="shared" si="1"/>
        <v>168</v>
      </c>
      <c r="P12" s="27">
        <f t="shared" si="1"/>
        <v>814</v>
      </c>
    </row>
    <row r="13" spans="3:16" ht="16.5" thickTop="1" thickBot="1" x14ac:dyDescent="0.3">
      <c r="C13" s="12" t="s">
        <v>8</v>
      </c>
      <c r="D13" s="20">
        <f>SUMIFS(valor_cp,plano_cp,$C13,mes_cp,D$4,confirmacao_cp,"S")</f>
        <v>34</v>
      </c>
      <c r="E13" s="20">
        <f>SUMIFS(valor_cp,plano_cp,$C13,mes_cp,E$4,confirmacao_cp,"S")</f>
        <v>20</v>
      </c>
      <c r="F13" s="20">
        <f>SUMIFS(valor_cp,plano_cp,$C13,mes_cp,F$4,confirmacao_cp,"S")</f>
        <v>43</v>
      </c>
      <c r="G13" s="20">
        <f>SUMIFS(valor_cp,plano_cp,$C13,mes_cp,G$4,confirmacao_cp,"S")</f>
        <v>0</v>
      </c>
      <c r="H13" s="20">
        <f>SUMIFS(valor_cp,plano_cp,$C13,mes_cp,H$4,confirmacao_cp,"S")</f>
        <v>0</v>
      </c>
      <c r="I13" s="20">
        <f>SUMIFS(valor_cp,plano_cp,$C13,mes_cp,I$4,confirmacao_cp,"S")</f>
        <v>0</v>
      </c>
      <c r="J13" s="20">
        <f>SUMIFS(valor_cp,plano_cp,$C13,mes_cp,J$4,confirmacao_cp,"S")</f>
        <v>0</v>
      </c>
      <c r="K13" s="20">
        <f>SUMIFS(valor_cp,plano_cp,$C13,mes_cp,K$4,confirmacao_cp,"S")</f>
        <v>0</v>
      </c>
      <c r="L13" s="20">
        <f>SUMIFS(valor_cp,plano_cp,$C13,mes_cp,L$4,confirmacao_cp,"S")</f>
        <v>0</v>
      </c>
      <c r="M13" s="20">
        <f>SUMIFS(valor_cp,plano_cp,$C13,mes_cp,M$4,confirmacao_cp,"S")</f>
        <v>0</v>
      </c>
      <c r="N13" s="20">
        <f>SUMIFS(valor_cp,plano_cp,$C13,mes_cp,N$4,confirmacao_cp,"S")</f>
        <v>0</v>
      </c>
      <c r="O13" s="20">
        <f>SUMIFS(valor_cp,plano_cp,$C13,mes_cp,O$4,confirmacao_cp,"S")</f>
        <v>0</v>
      </c>
      <c r="P13" s="27">
        <f t="shared" si="0"/>
        <v>97</v>
      </c>
    </row>
    <row r="14" spans="3:16" ht="16.5" thickTop="1" thickBot="1" x14ac:dyDescent="0.3">
      <c r="C14" s="12" t="s">
        <v>9</v>
      </c>
      <c r="D14" s="20">
        <f>SUMIFS(valor_cp,plano_cp,$C14,mes_cp,D$4,confirmacao_cp,"S")</f>
        <v>31</v>
      </c>
      <c r="E14" s="20">
        <f>SUMIFS(valor_cp,plano_cp,$C14,mes_cp,E$4,confirmacao_cp,"S")</f>
        <v>39</v>
      </c>
      <c r="F14" s="20">
        <f>SUMIFS(valor_cp,plano_cp,$C14,mes_cp,F$4,confirmacao_cp,"S")</f>
        <v>45</v>
      </c>
      <c r="G14" s="20">
        <f>SUMIFS(valor_cp,plano_cp,$C14,mes_cp,G$4,confirmacao_cp,"S")</f>
        <v>0</v>
      </c>
      <c r="H14" s="20">
        <f>SUMIFS(valor_cp,plano_cp,$C14,mes_cp,H$4,confirmacao_cp,"S")</f>
        <v>0</v>
      </c>
      <c r="I14" s="20">
        <f>SUMIFS(valor_cp,plano_cp,$C14,mes_cp,I$4,confirmacao_cp,"S")</f>
        <v>0</v>
      </c>
      <c r="J14" s="20">
        <f>SUMIFS(valor_cp,plano_cp,$C14,mes_cp,J$4,confirmacao_cp,"S")</f>
        <v>0</v>
      </c>
      <c r="K14" s="20">
        <f>SUMIFS(valor_cp,plano_cp,$C14,mes_cp,K$4,confirmacao_cp,"S")</f>
        <v>0</v>
      </c>
      <c r="L14" s="20">
        <f>SUMIFS(valor_cp,plano_cp,$C14,mes_cp,L$4,confirmacao_cp,"S")</f>
        <v>0</v>
      </c>
      <c r="M14" s="20">
        <f>SUMIFS(valor_cp,plano_cp,$C14,mes_cp,M$4,confirmacao_cp,"S")</f>
        <v>0</v>
      </c>
      <c r="N14" s="20">
        <f>SUMIFS(valor_cp,plano_cp,$C14,mes_cp,N$4,confirmacao_cp,"S")</f>
        <v>0</v>
      </c>
      <c r="O14" s="20">
        <f>SUMIFS(valor_cp,plano_cp,$C14,mes_cp,O$4,confirmacao_cp,"S")</f>
        <v>0</v>
      </c>
      <c r="P14" s="27">
        <f t="shared" si="0"/>
        <v>115</v>
      </c>
    </row>
    <row r="15" spans="3:16" ht="16.5" thickTop="1" thickBot="1" x14ac:dyDescent="0.3">
      <c r="C15" s="12" t="s">
        <v>10</v>
      </c>
      <c r="D15" s="20">
        <f>SUMIFS(valor_cp,plano_cp,$C15,mes_cp,D$4,confirmacao_cp,"S")</f>
        <v>21</v>
      </c>
      <c r="E15" s="20">
        <f>SUMIFS(valor_cp,plano_cp,$C15,mes_cp,E$4,confirmacao_cp,"S")</f>
        <v>0</v>
      </c>
      <c r="F15" s="20">
        <f>SUMIFS(valor_cp,plano_cp,$C15,mes_cp,F$4,confirmacao_cp,"S")</f>
        <v>24</v>
      </c>
      <c r="G15" s="20">
        <f>SUMIFS(valor_cp,plano_cp,$C15,mes_cp,G$4,confirmacao_cp,"S")</f>
        <v>0</v>
      </c>
      <c r="H15" s="20">
        <f>SUMIFS(valor_cp,plano_cp,$C15,mes_cp,H$4,confirmacao_cp,"S")</f>
        <v>33</v>
      </c>
      <c r="I15" s="20">
        <f>SUMIFS(valor_cp,plano_cp,$C15,mes_cp,I$4,confirmacao_cp,"S")</f>
        <v>0</v>
      </c>
      <c r="J15" s="20">
        <f>SUMIFS(valor_cp,plano_cp,$C15,mes_cp,J$4,confirmacao_cp,"S")</f>
        <v>0</v>
      </c>
      <c r="K15" s="20">
        <f>SUMIFS(valor_cp,plano_cp,$C15,mes_cp,K$4,confirmacao_cp,"S")</f>
        <v>0</v>
      </c>
      <c r="L15" s="20">
        <f>SUMIFS(valor_cp,plano_cp,$C15,mes_cp,L$4,confirmacao_cp,"S")</f>
        <v>0</v>
      </c>
      <c r="M15" s="20">
        <f>SUMIFS(valor_cp,plano_cp,$C15,mes_cp,M$4,confirmacao_cp,"S")</f>
        <v>0</v>
      </c>
      <c r="N15" s="20">
        <f>SUMIFS(valor_cp,plano_cp,$C15,mes_cp,N$4,confirmacao_cp,"S")</f>
        <v>0</v>
      </c>
      <c r="O15" s="20">
        <f>SUMIFS(valor_cp,plano_cp,$C15,mes_cp,O$4,confirmacao_cp,"S")</f>
        <v>0</v>
      </c>
      <c r="P15" s="27">
        <f t="shared" si="0"/>
        <v>78</v>
      </c>
    </row>
    <row r="16" spans="3:16" ht="16.5" thickTop="1" thickBot="1" x14ac:dyDescent="0.3">
      <c r="C16" s="12" t="s">
        <v>11</v>
      </c>
      <c r="D16" s="20">
        <f>SUMIFS(valor_cp,plano_cp,$C16,mes_cp,D$4,confirmacao_cp,"S")</f>
        <v>0</v>
      </c>
      <c r="E16" s="20">
        <f>SUMIFS(valor_cp,plano_cp,$C16,mes_cp,E$4,confirmacao_cp,"S")</f>
        <v>23</v>
      </c>
      <c r="F16" s="20">
        <f>SUMIFS(valor_cp,plano_cp,$C16,mes_cp,F$4,confirmacao_cp,"S")</f>
        <v>0</v>
      </c>
      <c r="G16" s="20">
        <f>SUMIFS(valor_cp,plano_cp,$C16,mes_cp,G$4,confirmacao_cp,"S")</f>
        <v>24</v>
      </c>
      <c r="H16" s="20">
        <f>SUMIFS(valor_cp,plano_cp,$C16,mes_cp,H$4,confirmacao_cp,"S")</f>
        <v>0</v>
      </c>
      <c r="I16" s="20">
        <f>SUMIFS(valor_cp,plano_cp,$C16,mes_cp,I$4,confirmacao_cp,"S")</f>
        <v>40</v>
      </c>
      <c r="J16" s="20">
        <f>SUMIFS(valor_cp,plano_cp,$C16,mes_cp,J$4,confirmacao_cp,"S")</f>
        <v>0</v>
      </c>
      <c r="K16" s="20">
        <f>SUMIFS(valor_cp,plano_cp,$C16,mes_cp,K$4,confirmacao_cp,"S")</f>
        <v>0</v>
      </c>
      <c r="L16" s="20">
        <f>SUMIFS(valor_cp,plano_cp,$C16,mes_cp,L$4,confirmacao_cp,"S")</f>
        <v>0</v>
      </c>
      <c r="M16" s="20">
        <f>SUMIFS(valor_cp,plano_cp,$C16,mes_cp,M$4,confirmacao_cp,"S")</f>
        <v>0</v>
      </c>
      <c r="N16" s="20">
        <f>SUMIFS(valor_cp,plano_cp,$C16,mes_cp,N$4,confirmacao_cp,"S")</f>
        <v>0</v>
      </c>
      <c r="O16" s="20">
        <f>SUMIFS(valor_cp,plano_cp,$C16,mes_cp,O$4,confirmacao_cp,"S")</f>
        <v>0</v>
      </c>
      <c r="P16" s="27">
        <f t="shared" si="0"/>
        <v>87</v>
      </c>
    </row>
    <row r="17" spans="3:16" ht="16.5" thickTop="1" thickBot="1" x14ac:dyDescent="0.3">
      <c r="C17" s="12" t="s">
        <v>12</v>
      </c>
      <c r="D17" s="20">
        <f>SUMIFS(valor_cp,plano_cp,$C17,mes_cp,D$4,confirmacao_cp,"S")</f>
        <v>0</v>
      </c>
      <c r="E17" s="20">
        <f>SUMIFS(valor_cp,plano_cp,$C17,mes_cp,E$4,confirmacao_cp,"S")</f>
        <v>28</v>
      </c>
      <c r="F17" s="20">
        <f>SUMIFS(valor_cp,plano_cp,$C17,mes_cp,F$4,confirmacao_cp,"S")</f>
        <v>0</v>
      </c>
      <c r="G17" s="20">
        <f>SUMIFS(valor_cp,plano_cp,$C17,mes_cp,G$4,confirmacao_cp,"S")</f>
        <v>0</v>
      </c>
      <c r="H17" s="20">
        <f>SUMIFS(valor_cp,plano_cp,$C17,mes_cp,H$4,confirmacao_cp,"S")</f>
        <v>0</v>
      </c>
      <c r="I17" s="20">
        <f>SUMIFS(valor_cp,plano_cp,$C17,mes_cp,I$4,confirmacao_cp,"S")</f>
        <v>0</v>
      </c>
      <c r="J17" s="20">
        <f>SUMIFS(valor_cp,plano_cp,$C17,mes_cp,J$4,confirmacao_cp,"S")</f>
        <v>0</v>
      </c>
      <c r="K17" s="20">
        <f>SUMIFS(valor_cp,plano_cp,$C17,mes_cp,K$4,confirmacao_cp,"S")</f>
        <v>0</v>
      </c>
      <c r="L17" s="20">
        <f>SUMIFS(valor_cp,plano_cp,$C17,mes_cp,L$4,confirmacao_cp,"S")</f>
        <v>0</v>
      </c>
      <c r="M17" s="20">
        <f>SUMIFS(valor_cp,plano_cp,$C17,mes_cp,M$4,confirmacao_cp,"S")</f>
        <v>0</v>
      </c>
      <c r="N17" s="20">
        <f>SUMIFS(valor_cp,plano_cp,$C17,mes_cp,N$4,confirmacao_cp,"S")</f>
        <v>0</v>
      </c>
      <c r="O17" s="20">
        <f>SUMIFS(valor_cp,plano_cp,$C17,mes_cp,O$4,confirmacao_cp,"S")</f>
        <v>0</v>
      </c>
      <c r="P17" s="27">
        <f t="shared" si="0"/>
        <v>28</v>
      </c>
    </row>
    <row r="18" spans="3:16" ht="16.5" thickTop="1" thickBot="1" x14ac:dyDescent="0.3">
      <c r="C18" s="12" t="s">
        <v>13</v>
      </c>
      <c r="D18" s="20">
        <f>SUMIFS(valor_cp,plano_cp,$C18,mes_cp,D$4,confirmacao_cp,"S")</f>
        <v>0</v>
      </c>
      <c r="E18" s="20">
        <f>SUMIFS(valor_cp,plano_cp,$C18,mes_cp,E$4,confirmacao_cp,"S")</f>
        <v>0</v>
      </c>
      <c r="F18" s="20">
        <f>SUMIFS(valor_cp,plano_cp,$C18,mes_cp,F$4,confirmacao_cp,"S")</f>
        <v>0</v>
      </c>
      <c r="G18" s="20">
        <f>SUMIFS(valor_cp,plano_cp,$C18,mes_cp,G$4,confirmacao_cp,"S")</f>
        <v>0</v>
      </c>
      <c r="H18" s="20">
        <f>SUMIFS(valor_cp,plano_cp,$C18,mes_cp,H$4,confirmacao_cp,"S")</f>
        <v>0</v>
      </c>
      <c r="I18" s="20">
        <f>SUMIFS(valor_cp,plano_cp,$C18,mes_cp,I$4,confirmacao_cp,"S")</f>
        <v>0</v>
      </c>
      <c r="J18" s="20">
        <f>SUMIFS(valor_cp,plano_cp,$C18,mes_cp,J$4,confirmacao_cp,"S")</f>
        <v>0</v>
      </c>
      <c r="K18" s="20">
        <f>SUMIFS(valor_cp,plano_cp,$C18,mes_cp,K$4,confirmacao_cp,"S")</f>
        <v>0</v>
      </c>
      <c r="L18" s="20">
        <f>SUMIFS(valor_cp,plano_cp,$C18,mes_cp,L$4,confirmacao_cp,"S")</f>
        <v>0</v>
      </c>
      <c r="M18" s="20">
        <f>SUMIFS(valor_cp,plano_cp,$C18,mes_cp,M$4,confirmacao_cp,"S")</f>
        <v>0</v>
      </c>
      <c r="N18" s="20">
        <f>SUMIFS(valor_cp,plano_cp,$C18,mes_cp,N$4,confirmacao_cp,"S")</f>
        <v>0</v>
      </c>
      <c r="O18" s="20">
        <f>SUMIFS(valor_cp,plano_cp,$C18,mes_cp,O$4,confirmacao_cp,"S")</f>
        <v>0</v>
      </c>
      <c r="P18" s="27">
        <f t="shared" si="0"/>
        <v>0</v>
      </c>
    </row>
    <row r="19" spans="3:16" ht="16.5" thickTop="1" thickBot="1" x14ac:dyDescent="0.3">
      <c r="C19" s="12" t="s">
        <v>14</v>
      </c>
      <c r="D19" s="20">
        <f>SUMIFS(valor_cp,plano_cp,$C19,mes_cp,D$4,confirmacao_cp,"S")</f>
        <v>0</v>
      </c>
      <c r="E19" s="20">
        <f>SUMIFS(valor_cp,plano_cp,$C19,mes_cp,E$4,confirmacao_cp,"S")</f>
        <v>0</v>
      </c>
      <c r="F19" s="20">
        <f>SUMIFS(valor_cp,plano_cp,$C19,mes_cp,F$4,confirmacao_cp,"S")</f>
        <v>0</v>
      </c>
      <c r="G19" s="20">
        <f>SUMIFS(valor_cp,plano_cp,$C19,mes_cp,G$4,confirmacao_cp,"S")</f>
        <v>0</v>
      </c>
      <c r="H19" s="20">
        <f>SUMIFS(valor_cp,plano_cp,$C19,mes_cp,H$4,confirmacao_cp,"S")</f>
        <v>0</v>
      </c>
      <c r="I19" s="20">
        <f>SUMIFS(valor_cp,plano_cp,$C19,mes_cp,I$4,confirmacao_cp,"S")</f>
        <v>0</v>
      </c>
      <c r="J19" s="20">
        <f>SUMIFS(valor_cp,plano_cp,$C19,mes_cp,J$4,confirmacao_cp,"S")</f>
        <v>0</v>
      </c>
      <c r="K19" s="20">
        <f>SUMIFS(valor_cp,plano_cp,$C19,mes_cp,K$4,confirmacao_cp,"S")</f>
        <v>0</v>
      </c>
      <c r="L19" s="20">
        <f>SUMIFS(valor_cp,plano_cp,$C19,mes_cp,L$4,confirmacao_cp,"S")</f>
        <v>0</v>
      </c>
      <c r="M19" s="20">
        <f>SUMIFS(valor_cp,plano_cp,$C19,mes_cp,M$4,confirmacao_cp,"S")</f>
        <v>0</v>
      </c>
      <c r="N19" s="20">
        <f>SUMIFS(valor_cp,plano_cp,$C19,mes_cp,N$4,confirmacao_cp,"S")</f>
        <v>0</v>
      </c>
      <c r="O19" s="20">
        <f>SUMIFS(valor_cp,plano_cp,$C19,mes_cp,O$4,confirmacao_cp,"S")</f>
        <v>0</v>
      </c>
      <c r="P19" s="27">
        <f t="shared" si="0"/>
        <v>0</v>
      </c>
    </row>
    <row r="20" spans="3:16" ht="16.5" thickTop="1" thickBot="1" x14ac:dyDescent="0.3">
      <c r="C20" s="12" t="s">
        <v>15</v>
      </c>
      <c r="D20" s="20">
        <f>SUMIFS(valor_cp,plano_cp,$C20,mes_cp,D$4,confirmacao_cp,"S")</f>
        <v>0</v>
      </c>
      <c r="E20" s="20">
        <f>SUMIFS(valor_cp,plano_cp,$C20,mes_cp,E$4,confirmacao_cp,"S")</f>
        <v>0</v>
      </c>
      <c r="F20" s="20">
        <f>SUMIFS(valor_cp,plano_cp,$C20,mes_cp,F$4,confirmacao_cp,"S")</f>
        <v>0</v>
      </c>
      <c r="G20" s="20">
        <f>SUMIFS(valor_cp,plano_cp,$C20,mes_cp,G$4,confirmacao_cp,"S")</f>
        <v>0</v>
      </c>
      <c r="H20" s="20">
        <f>SUMIFS(valor_cp,plano_cp,$C20,mes_cp,H$4,confirmacao_cp,"S")</f>
        <v>0</v>
      </c>
      <c r="I20" s="20">
        <f>SUMIFS(valor_cp,plano_cp,$C20,mes_cp,I$4,confirmacao_cp,"S")</f>
        <v>0</v>
      </c>
      <c r="J20" s="20">
        <f>SUMIFS(valor_cp,plano_cp,$C20,mes_cp,J$4,confirmacao_cp,"S")</f>
        <v>0</v>
      </c>
      <c r="K20" s="20">
        <f>SUMIFS(valor_cp,plano_cp,$C20,mes_cp,K$4,confirmacao_cp,"S")</f>
        <v>0</v>
      </c>
      <c r="L20" s="20">
        <f>SUMIFS(valor_cp,plano_cp,$C20,mes_cp,L$4,confirmacao_cp,"S")</f>
        <v>0</v>
      </c>
      <c r="M20" s="20">
        <f>SUMIFS(valor_cp,plano_cp,$C20,mes_cp,M$4,confirmacao_cp,"S")</f>
        <v>0</v>
      </c>
      <c r="N20" s="20">
        <f>SUMIFS(valor_cp,plano_cp,$C20,mes_cp,N$4,confirmacao_cp,"S")</f>
        <v>0</v>
      </c>
      <c r="O20" s="20">
        <f>SUMIFS(valor_cp,plano_cp,$C20,mes_cp,O$4,confirmacao_cp,"S")</f>
        <v>0</v>
      </c>
      <c r="P20" s="27">
        <f t="shared" si="0"/>
        <v>0</v>
      </c>
    </row>
    <row r="21" spans="3:16" ht="16.5" thickTop="1" thickBot="1" x14ac:dyDescent="0.3">
      <c r="C21" s="12" t="s">
        <v>16</v>
      </c>
      <c r="D21" s="20">
        <f>SUMIFS(valor_cp,plano_cp,$C21,mes_cp,D$4,confirmacao_cp,"S")</f>
        <v>0</v>
      </c>
      <c r="E21" s="20">
        <f>SUMIFS(valor_cp,plano_cp,$C21,mes_cp,E$4,confirmacao_cp,"S")</f>
        <v>0</v>
      </c>
      <c r="F21" s="20">
        <f>SUMIFS(valor_cp,plano_cp,$C21,mes_cp,F$4,confirmacao_cp,"S")</f>
        <v>0</v>
      </c>
      <c r="G21" s="20">
        <f>SUMIFS(valor_cp,plano_cp,$C21,mes_cp,G$4,confirmacao_cp,"S")</f>
        <v>0</v>
      </c>
      <c r="H21" s="20">
        <f>SUMIFS(valor_cp,plano_cp,$C21,mes_cp,H$4,confirmacao_cp,"S")</f>
        <v>0</v>
      </c>
      <c r="I21" s="20">
        <f>SUMIFS(valor_cp,plano_cp,$C21,mes_cp,I$4,confirmacao_cp,"S")</f>
        <v>0</v>
      </c>
      <c r="J21" s="20">
        <f>SUMIFS(valor_cp,plano_cp,$C21,mes_cp,J$4,confirmacao_cp,"S")</f>
        <v>0</v>
      </c>
      <c r="K21" s="20">
        <f>SUMIFS(valor_cp,plano_cp,$C21,mes_cp,K$4,confirmacao_cp,"S")</f>
        <v>0</v>
      </c>
      <c r="L21" s="20">
        <f>SUMIFS(valor_cp,plano_cp,$C21,mes_cp,L$4,confirmacao_cp,"S")</f>
        <v>0</v>
      </c>
      <c r="M21" s="20">
        <f>SUMIFS(valor_cp,plano_cp,$C21,mes_cp,M$4,confirmacao_cp,"S")</f>
        <v>0</v>
      </c>
      <c r="N21" s="20">
        <f>SUMIFS(valor_cp,plano_cp,$C21,mes_cp,N$4,confirmacao_cp,"S")</f>
        <v>0</v>
      </c>
      <c r="O21" s="20">
        <f>SUMIFS(valor_cp,plano_cp,$C21,mes_cp,O$4,confirmacao_cp,"S")</f>
        <v>0</v>
      </c>
      <c r="P21" s="27">
        <f t="shared" si="0"/>
        <v>0</v>
      </c>
    </row>
    <row r="22" spans="3:16" ht="16.5" thickTop="1" thickBot="1" x14ac:dyDescent="0.3">
      <c r="C22" s="12" t="s">
        <v>17</v>
      </c>
      <c r="D22" s="20">
        <f>SUMIFS(valor_cp,plano_cp,$C22,mes_cp,D$4,confirmacao_cp,"S")</f>
        <v>0</v>
      </c>
      <c r="E22" s="20">
        <f>SUMIFS(valor_cp,plano_cp,$C22,mes_cp,E$4,confirmacao_cp,"S")</f>
        <v>0</v>
      </c>
      <c r="F22" s="20">
        <f>SUMIFS(valor_cp,plano_cp,$C22,mes_cp,F$4,confirmacao_cp,"S")</f>
        <v>0</v>
      </c>
      <c r="G22" s="20">
        <f>SUMIFS(valor_cp,plano_cp,$C22,mes_cp,G$4,confirmacao_cp,"S")</f>
        <v>0</v>
      </c>
      <c r="H22" s="20">
        <f>SUMIFS(valor_cp,plano_cp,$C22,mes_cp,H$4,confirmacao_cp,"S")</f>
        <v>0</v>
      </c>
      <c r="I22" s="20">
        <f>SUMIFS(valor_cp,plano_cp,$C22,mes_cp,I$4,confirmacao_cp,"S")</f>
        <v>0</v>
      </c>
      <c r="J22" s="20">
        <f>SUMIFS(valor_cp,plano_cp,$C22,mes_cp,J$4,confirmacao_cp,"S")</f>
        <v>0</v>
      </c>
      <c r="K22" s="20">
        <f>SUMIFS(valor_cp,plano_cp,$C22,mes_cp,K$4,confirmacao_cp,"S")</f>
        <v>0</v>
      </c>
      <c r="L22" s="20">
        <f>SUMIFS(valor_cp,plano_cp,$C22,mes_cp,L$4,confirmacao_cp,"S")</f>
        <v>0</v>
      </c>
      <c r="M22" s="20">
        <f>SUMIFS(valor_cp,plano_cp,$C22,mes_cp,M$4,confirmacao_cp,"S")</f>
        <v>0</v>
      </c>
      <c r="N22" s="20">
        <f>SUMIFS(valor_cp,plano_cp,$C22,mes_cp,N$4,confirmacao_cp,"S")</f>
        <v>0</v>
      </c>
      <c r="O22" s="20">
        <f>SUMIFS(valor_cp,plano_cp,$C22,mes_cp,O$4,confirmacao_cp,"S")</f>
        <v>0</v>
      </c>
      <c r="P22" s="27">
        <f t="shared" si="0"/>
        <v>0</v>
      </c>
    </row>
    <row r="23" spans="3:16" ht="16.5" thickTop="1" thickBot="1" x14ac:dyDescent="0.3">
      <c r="C23" s="12" t="s">
        <v>18</v>
      </c>
      <c r="D23" s="20">
        <f>SUMIFS(valor_cp,plano_cp,$C23,mes_cp,D$4,confirmacao_cp,"S")</f>
        <v>0</v>
      </c>
      <c r="E23" s="20">
        <f>SUMIFS(valor_cp,plano_cp,$C23,mes_cp,E$4,confirmacao_cp,"S")</f>
        <v>0</v>
      </c>
      <c r="F23" s="20">
        <f>SUMIFS(valor_cp,plano_cp,$C23,mes_cp,F$4,confirmacao_cp,"S")</f>
        <v>0</v>
      </c>
      <c r="G23" s="20">
        <f>SUMIFS(valor_cp,plano_cp,$C23,mes_cp,G$4,confirmacao_cp,"S")</f>
        <v>0</v>
      </c>
      <c r="H23" s="20">
        <f>SUMIFS(valor_cp,plano_cp,$C23,mes_cp,H$4,confirmacao_cp,"S")</f>
        <v>0</v>
      </c>
      <c r="I23" s="20">
        <f>SUMIFS(valor_cp,plano_cp,$C23,mes_cp,I$4,confirmacao_cp,"S")</f>
        <v>0</v>
      </c>
      <c r="J23" s="20">
        <f>SUMIFS(valor_cp,plano_cp,$C23,mes_cp,J$4,confirmacao_cp,"S")</f>
        <v>0</v>
      </c>
      <c r="K23" s="20">
        <f>SUMIFS(valor_cp,plano_cp,$C23,mes_cp,K$4,confirmacao_cp,"S")</f>
        <v>0</v>
      </c>
      <c r="L23" s="20">
        <f>SUMIFS(valor_cp,plano_cp,$C23,mes_cp,L$4,confirmacao_cp,"S")</f>
        <v>0</v>
      </c>
      <c r="M23" s="20">
        <f>SUMIFS(valor_cp,plano_cp,$C23,mes_cp,M$4,confirmacao_cp,"S")</f>
        <v>0</v>
      </c>
      <c r="N23" s="20">
        <f>SUMIFS(valor_cp,plano_cp,$C23,mes_cp,N$4,confirmacao_cp,"S")</f>
        <v>0</v>
      </c>
      <c r="O23" s="20">
        <f>SUMIFS(valor_cp,plano_cp,$C23,mes_cp,O$4,confirmacao_cp,"S")</f>
        <v>0</v>
      </c>
      <c r="P23" s="27">
        <f t="shared" si="0"/>
        <v>0</v>
      </c>
    </row>
    <row r="24" spans="3:16" ht="16.5" thickTop="1" thickBot="1" x14ac:dyDescent="0.3">
      <c r="C24" s="12" t="s">
        <v>19</v>
      </c>
      <c r="D24" s="20">
        <f>SUMIFS(valor_cp,plano_cp,$C24,mes_cp,D$4,confirmacao_cp,"S")</f>
        <v>0</v>
      </c>
      <c r="E24" s="20">
        <f>SUMIFS(valor_cp,plano_cp,$C24,mes_cp,E$4,confirmacao_cp,"S")</f>
        <v>0</v>
      </c>
      <c r="F24" s="20">
        <f>SUMIFS(valor_cp,plano_cp,$C24,mes_cp,F$4,confirmacao_cp,"S")</f>
        <v>0</v>
      </c>
      <c r="G24" s="20">
        <f>SUMIFS(valor_cp,plano_cp,$C24,mes_cp,G$4,confirmacao_cp,"S")</f>
        <v>0</v>
      </c>
      <c r="H24" s="20">
        <f>SUMIFS(valor_cp,plano_cp,$C24,mes_cp,H$4,confirmacao_cp,"S")</f>
        <v>0</v>
      </c>
      <c r="I24" s="20">
        <f>SUMIFS(valor_cp,plano_cp,$C24,mes_cp,I$4,confirmacao_cp,"S")</f>
        <v>0</v>
      </c>
      <c r="J24" s="20">
        <f>SUMIFS(valor_cp,plano_cp,$C24,mes_cp,J$4,confirmacao_cp,"S")</f>
        <v>0</v>
      </c>
      <c r="K24" s="20">
        <f>SUMIFS(valor_cp,plano_cp,$C24,mes_cp,K$4,confirmacao_cp,"S")</f>
        <v>0</v>
      </c>
      <c r="L24" s="20">
        <f>SUMIFS(valor_cp,plano_cp,$C24,mes_cp,L$4,confirmacao_cp,"S")</f>
        <v>0</v>
      </c>
      <c r="M24" s="20">
        <f>SUMIFS(valor_cp,plano_cp,$C24,mes_cp,M$4,confirmacao_cp,"S")</f>
        <v>0</v>
      </c>
      <c r="N24" s="20">
        <f>SUMIFS(valor_cp,plano_cp,$C24,mes_cp,N$4,confirmacao_cp,"S")</f>
        <v>0</v>
      </c>
      <c r="O24" s="20">
        <f>SUMIFS(valor_cp,plano_cp,$C24,mes_cp,O$4,confirmacao_cp,"S")</f>
        <v>0</v>
      </c>
      <c r="P24" s="27">
        <f t="shared" si="0"/>
        <v>0</v>
      </c>
    </row>
    <row r="25" spans="3:16" ht="16.5" thickTop="1" thickBot="1" x14ac:dyDescent="0.3">
      <c r="C25" s="12" t="s">
        <v>20</v>
      </c>
      <c r="D25" s="20">
        <f>SUMIFS(valor_cp,plano_cp,$C25,mes_cp,D$4,confirmacao_cp,"S")</f>
        <v>0</v>
      </c>
      <c r="E25" s="20">
        <f>SUMIFS(valor_cp,plano_cp,$C25,mes_cp,E$4,confirmacao_cp,"S")</f>
        <v>0</v>
      </c>
      <c r="F25" s="20">
        <f>SUMIFS(valor_cp,plano_cp,$C25,mes_cp,F$4,confirmacao_cp,"S")</f>
        <v>0</v>
      </c>
      <c r="G25" s="20">
        <f>SUMIFS(valor_cp,plano_cp,$C25,mes_cp,G$4,confirmacao_cp,"S")</f>
        <v>0</v>
      </c>
      <c r="H25" s="20">
        <f>SUMIFS(valor_cp,plano_cp,$C25,mes_cp,H$4,confirmacao_cp,"S")</f>
        <v>0</v>
      </c>
      <c r="I25" s="20">
        <f>SUMIFS(valor_cp,plano_cp,$C25,mes_cp,I$4,confirmacao_cp,"S")</f>
        <v>0</v>
      </c>
      <c r="J25" s="20">
        <f>SUMIFS(valor_cp,plano_cp,$C25,mes_cp,J$4,confirmacao_cp,"S")</f>
        <v>0</v>
      </c>
      <c r="K25" s="20">
        <f>SUMIFS(valor_cp,plano_cp,$C25,mes_cp,K$4,confirmacao_cp,"S")</f>
        <v>0</v>
      </c>
      <c r="L25" s="20">
        <f>SUMIFS(valor_cp,plano_cp,$C25,mes_cp,L$4,confirmacao_cp,"S")</f>
        <v>0</v>
      </c>
      <c r="M25" s="20">
        <f>SUMIFS(valor_cp,plano_cp,$C25,mes_cp,M$4,confirmacao_cp,"S")</f>
        <v>0</v>
      </c>
      <c r="N25" s="20">
        <f>SUMIFS(valor_cp,plano_cp,$C25,mes_cp,N$4,confirmacao_cp,"S")</f>
        <v>0</v>
      </c>
      <c r="O25" s="20">
        <f>SUMIFS(valor_cp,plano_cp,$C25,mes_cp,O$4,confirmacao_cp,"S")</f>
        <v>0</v>
      </c>
      <c r="P25" s="27">
        <f t="shared" si="0"/>
        <v>0</v>
      </c>
    </row>
    <row r="26" spans="3:16" ht="16.5" thickTop="1" thickBot="1" x14ac:dyDescent="0.3">
      <c r="C26" s="12" t="s">
        <v>21</v>
      </c>
      <c r="D26" s="20">
        <f>SUMIFS(valor_cp,plano_cp,$C26,mes_cp,D$4,confirmacao_cp,"S")</f>
        <v>0</v>
      </c>
      <c r="E26" s="20">
        <f>SUMIFS(valor_cp,plano_cp,$C26,mes_cp,E$4,confirmacao_cp,"S")</f>
        <v>0</v>
      </c>
      <c r="F26" s="20">
        <f>SUMIFS(valor_cp,plano_cp,$C26,mes_cp,F$4,confirmacao_cp,"S")</f>
        <v>0</v>
      </c>
      <c r="G26" s="20">
        <f>SUMIFS(valor_cp,plano_cp,$C26,mes_cp,G$4,confirmacao_cp,"S")</f>
        <v>0</v>
      </c>
      <c r="H26" s="20">
        <f>SUMIFS(valor_cp,plano_cp,$C26,mes_cp,H$4,confirmacao_cp,"S")</f>
        <v>0</v>
      </c>
      <c r="I26" s="20">
        <f>SUMIFS(valor_cp,plano_cp,$C26,mes_cp,I$4,confirmacao_cp,"S")</f>
        <v>0</v>
      </c>
      <c r="J26" s="20">
        <f>SUMIFS(valor_cp,plano_cp,$C26,mes_cp,J$4,confirmacao_cp,"S")</f>
        <v>0</v>
      </c>
      <c r="K26" s="20">
        <f>SUMIFS(valor_cp,plano_cp,$C26,mes_cp,K$4,confirmacao_cp,"S")</f>
        <v>0</v>
      </c>
      <c r="L26" s="20">
        <f>SUMIFS(valor_cp,plano_cp,$C26,mes_cp,L$4,confirmacao_cp,"S")</f>
        <v>0</v>
      </c>
      <c r="M26" s="20">
        <f>SUMIFS(valor_cp,plano_cp,$C26,mes_cp,M$4,confirmacao_cp,"S")</f>
        <v>0</v>
      </c>
      <c r="N26" s="20">
        <f>SUMIFS(valor_cp,plano_cp,$C26,mes_cp,N$4,confirmacao_cp,"S")</f>
        <v>0</v>
      </c>
      <c r="O26" s="20">
        <f>SUMIFS(valor_cp,plano_cp,$C26,mes_cp,O$4,confirmacao_cp,"S")</f>
        <v>0</v>
      </c>
      <c r="P26" s="27">
        <f t="shared" si="0"/>
        <v>0</v>
      </c>
    </row>
    <row r="27" spans="3:16" ht="16.5" thickTop="1" thickBot="1" x14ac:dyDescent="0.3">
      <c r="C27" s="12" t="s">
        <v>22</v>
      </c>
      <c r="D27" s="20">
        <f>SUMIFS(valor_cp,plano_cp,$C27,mes_cp,D$4,confirmacao_cp,"S")</f>
        <v>0</v>
      </c>
      <c r="E27" s="20">
        <f>SUMIFS(valor_cp,plano_cp,$C27,mes_cp,E$4,confirmacao_cp,"S")</f>
        <v>0</v>
      </c>
      <c r="F27" s="20">
        <f>SUMIFS(valor_cp,plano_cp,$C27,mes_cp,F$4,confirmacao_cp,"S")</f>
        <v>0</v>
      </c>
      <c r="G27" s="20">
        <f>SUMIFS(valor_cp,plano_cp,$C27,mes_cp,G$4,confirmacao_cp,"S")</f>
        <v>0</v>
      </c>
      <c r="H27" s="20">
        <f>SUMIFS(valor_cp,plano_cp,$C27,mes_cp,H$4,confirmacao_cp,"S")</f>
        <v>0</v>
      </c>
      <c r="I27" s="20">
        <f>SUMIFS(valor_cp,plano_cp,$C27,mes_cp,I$4,confirmacao_cp,"S")</f>
        <v>0</v>
      </c>
      <c r="J27" s="20">
        <f>SUMIFS(valor_cp,plano_cp,$C27,mes_cp,J$4,confirmacao_cp,"S")</f>
        <v>0</v>
      </c>
      <c r="K27" s="20">
        <f>SUMIFS(valor_cp,plano_cp,$C27,mes_cp,K$4,confirmacao_cp,"S")</f>
        <v>0</v>
      </c>
      <c r="L27" s="20">
        <f>SUMIFS(valor_cp,plano_cp,$C27,mes_cp,L$4,confirmacao_cp,"S")</f>
        <v>0</v>
      </c>
      <c r="M27" s="20">
        <f>SUMIFS(valor_cp,plano_cp,$C27,mes_cp,M$4,confirmacao_cp,"S")</f>
        <v>0</v>
      </c>
      <c r="N27" s="20">
        <f>SUMIFS(valor_cp,plano_cp,$C27,mes_cp,N$4,confirmacao_cp,"S")</f>
        <v>0</v>
      </c>
      <c r="O27" s="20">
        <f>SUMIFS(valor_cp,plano_cp,$C27,mes_cp,O$4,confirmacao_cp,"S")</f>
        <v>0</v>
      </c>
      <c r="P27" s="27">
        <f t="shared" si="0"/>
        <v>0</v>
      </c>
    </row>
    <row r="28" spans="3:16" ht="16.5" thickTop="1" thickBot="1" x14ac:dyDescent="0.3">
      <c r="C28" s="26" t="s">
        <v>52</v>
      </c>
      <c r="D28" s="27">
        <f>SUM(D13:D27)</f>
        <v>86</v>
      </c>
      <c r="E28" s="27">
        <f t="shared" ref="E28:P28" si="2">SUM(E13:E27)</f>
        <v>110</v>
      </c>
      <c r="F28" s="27">
        <f t="shared" si="2"/>
        <v>112</v>
      </c>
      <c r="G28" s="27">
        <f t="shared" si="2"/>
        <v>24</v>
      </c>
      <c r="H28" s="27">
        <f t="shared" si="2"/>
        <v>33</v>
      </c>
      <c r="I28" s="27">
        <f t="shared" si="2"/>
        <v>40</v>
      </c>
      <c r="J28" s="27">
        <f t="shared" si="2"/>
        <v>0</v>
      </c>
      <c r="K28" s="27">
        <f t="shared" si="2"/>
        <v>0</v>
      </c>
      <c r="L28" s="27">
        <f t="shared" si="2"/>
        <v>0</v>
      </c>
      <c r="M28" s="27">
        <f t="shared" si="2"/>
        <v>0</v>
      </c>
      <c r="N28" s="27">
        <f t="shared" si="2"/>
        <v>0</v>
      </c>
      <c r="O28" s="27">
        <f t="shared" si="2"/>
        <v>0</v>
      </c>
      <c r="P28" s="27">
        <f t="shared" si="2"/>
        <v>405</v>
      </c>
    </row>
    <row r="29" spans="3:16" x14ac:dyDescent="0.2">
      <c r="C29" s="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49" spans="3:4" ht="15" thickBot="1" x14ac:dyDescent="0.25"/>
    <row r="50" spans="3:4" ht="16.5" thickTop="1" thickBot="1" x14ac:dyDescent="0.25">
      <c r="C50" s="24" t="s">
        <v>38</v>
      </c>
      <c r="D50" s="25" t="s">
        <v>157</v>
      </c>
    </row>
    <row r="51" spans="3:4" ht="16.5" thickTop="1" thickBot="1" x14ac:dyDescent="0.3">
      <c r="C51" s="12" t="s">
        <v>39</v>
      </c>
      <c r="D51" s="20"/>
    </row>
    <row r="52" spans="3:4" ht="16.5" thickTop="1" thickBot="1" x14ac:dyDescent="0.3">
      <c r="C52" s="12" t="s">
        <v>40</v>
      </c>
      <c r="D52" s="20"/>
    </row>
    <row r="53" spans="3:4" ht="16.5" thickTop="1" thickBot="1" x14ac:dyDescent="0.3">
      <c r="C53" s="12" t="s">
        <v>41</v>
      </c>
      <c r="D53" s="20"/>
    </row>
    <row r="54" spans="3:4" ht="16.5" thickTop="1" thickBot="1" x14ac:dyDescent="0.3">
      <c r="C54" s="12" t="s">
        <v>42</v>
      </c>
      <c r="D54" s="20"/>
    </row>
    <row r="55" spans="3:4" ht="16.5" thickTop="1" thickBot="1" x14ac:dyDescent="0.3">
      <c r="C55" s="12" t="s">
        <v>43</v>
      </c>
      <c r="D55" s="20"/>
    </row>
    <row r="56" spans="3:4" ht="16.5" thickTop="1" thickBot="1" x14ac:dyDescent="0.3">
      <c r="C56" s="12" t="s">
        <v>44</v>
      </c>
      <c r="D56" s="20"/>
    </row>
    <row r="57" spans="3:4" ht="16.5" thickTop="1" thickBot="1" x14ac:dyDescent="0.3">
      <c r="C57" s="12" t="s">
        <v>45</v>
      </c>
      <c r="D57" s="20"/>
    </row>
    <row r="58" spans="3:4" ht="16.5" thickTop="1" thickBot="1" x14ac:dyDescent="0.3">
      <c r="C58" s="12" t="s">
        <v>46</v>
      </c>
      <c r="D58" s="20"/>
    </row>
    <row r="59" spans="3:4" ht="16.5" thickTop="1" thickBot="1" x14ac:dyDescent="0.3">
      <c r="C59" s="12" t="s">
        <v>47</v>
      </c>
      <c r="D59" s="20"/>
    </row>
    <row r="60" spans="3:4" ht="16.5" thickTop="1" thickBot="1" x14ac:dyDescent="0.3">
      <c r="C60" s="12" t="s">
        <v>48</v>
      </c>
      <c r="D60" s="20"/>
    </row>
    <row r="61" spans="3:4" ht="16.5" thickTop="1" thickBot="1" x14ac:dyDescent="0.3">
      <c r="C61" s="12" t="s">
        <v>49</v>
      </c>
      <c r="D61" s="20"/>
    </row>
  </sheetData>
  <mergeCells count="1">
    <mergeCell ref="C2:P2"/>
  </mergeCells>
  <pageMargins left="0.511811024" right="0.511811024" top="0.78740157499999996" bottom="0.78740157499999996" header="0.31496062000000002" footer="0.31496062000000002"/>
  <pageSetup paperSize="9" scale="52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30"/>
  <sheetViews>
    <sheetView showGridLines="0" showRowColHeaders="0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D8" sqref="D8"/>
    </sheetView>
  </sheetViews>
  <sheetFormatPr defaultRowHeight="14.25" x14ac:dyDescent="0.2"/>
  <cols>
    <col min="1" max="1" width="25.7109375" style="5" customWidth="1"/>
    <col min="2" max="2" width="1.7109375" style="5" customWidth="1"/>
    <col min="3" max="3" width="32.85546875" style="5" customWidth="1"/>
    <col min="4" max="4" width="15.42578125" style="5" customWidth="1"/>
    <col min="5" max="16384" width="9.140625" style="5"/>
  </cols>
  <sheetData>
    <row r="1" spans="3:16" ht="9.9499999999999993" customHeight="1" x14ac:dyDescent="0.2"/>
    <row r="2" spans="3:16" ht="14.25" customHeight="1" x14ac:dyDescent="0.25">
      <c r="C2" s="39" t="s">
        <v>129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3:16" ht="9.9499999999999993" customHeight="1" x14ac:dyDescent="0.2"/>
    <row r="4" spans="3:16" ht="15.75" thickBot="1" x14ac:dyDescent="0.3">
      <c r="C4" s="12" t="s">
        <v>130</v>
      </c>
      <c r="D4" s="13" t="s">
        <v>131</v>
      </c>
      <c r="E4"/>
      <c r="F4"/>
      <c r="G4"/>
      <c r="H4"/>
      <c r="I4"/>
      <c r="J4"/>
      <c r="K4"/>
      <c r="L4"/>
      <c r="M4"/>
      <c r="N4"/>
      <c r="O4"/>
      <c r="P4"/>
    </row>
    <row r="5" spans="3:16" ht="15.75" thickBot="1" x14ac:dyDescent="0.3">
      <c r="C5" s="15" t="s">
        <v>132</v>
      </c>
      <c r="D5" s="30">
        <v>25000</v>
      </c>
      <c r="E5"/>
      <c r="F5"/>
      <c r="G5"/>
      <c r="H5"/>
      <c r="I5"/>
      <c r="J5"/>
      <c r="K5"/>
      <c r="L5"/>
      <c r="M5"/>
      <c r="N5"/>
      <c r="O5"/>
      <c r="P5"/>
    </row>
    <row r="6" spans="3:16" ht="15.75" thickBot="1" x14ac:dyDescent="0.3">
      <c r="C6" s="15" t="s">
        <v>133</v>
      </c>
      <c r="D6" s="31">
        <v>1.4999999999999999E-2</v>
      </c>
      <c r="E6"/>
      <c r="F6"/>
      <c r="G6"/>
      <c r="H6"/>
      <c r="I6"/>
      <c r="J6"/>
      <c r="K6"/>
      <c r="L6"/>
      <c r="M6"/>
      <c r="N6"/>
      <c r="O6"/>
      <c r="P6"/>
    </row>
    <row r="7" spans="3:16" ht="15.75" thickBot="1" x14ac:dyDescent="0.3">
      <c r="C7" s="15" t="s">
        <v>134</v>
      </c>
      <c r="D7" s="32">
        <v>36</v>
      </c>
      <c r="E7"/>
      <c r="F7"/>
      <c r="G7"/>
      <c r="H7"/>
      <c r="I7"/>
      <c r="J7"/>
      <c r="K7"/>
      <c r="L7"/>
      <c r="M7"/>
      <c r="N7"/>
      <c r="O7"/>
      <c r="P7"/>
    </row>
    <row r="8" spans="3:16" ht="15.75" thickBot="1" x14ac:dyDescent="0.3">
      <c r="C8" s="14" t="s">
        <v>135</v>
      </c>
      <c r="D8" s="28">
        <f>PMT(D6,D7,D5)</f>
        <v>-903.80988839792099</v>
      </c>
      <c r="E8"/>
      <c r="F8"/>
      <c r="G8"/>
      <c r="H8"/>
      <c r="I8"/>
      <c r="J8"/>
      <c r="K8"/>
      <c r="L8"/>
      <c r="M8"/>
      <c r="N8"/>
      <c r="O8"/>
      <c r="P8"/>
    </row>
    <row r="9" spans="3:16" ht="15.75" thickBot="1" x14ac:dyDescent="0.3">
      <c r="C9" s="14" t="s">
        <v>136</v>
      </c>
      <c r="D9" s="29">
        <f>D7*D8</f>
        <v>-32537.155982325155</v>
      </c>
      <c r="E9"/>
      <c r="F9"/>
      <c r="G9"/>
      <c r="H9"/>
      <c r="I9"/>
      <c r="J9"/>
      <c r="K9"/>
      <c r="L9"/>
      <c r="M9"/>
      <c r="N9"/>
      <c r="O9"/>
      <c r="P9"/>
    </row>
    <row r="10" spans="3:16" ht="15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3:16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3:16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3:16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3:16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3:16" ht="15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16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 ht="15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 ht="15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 ht="15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 ht="15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 ht="1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 ht="1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 ht="1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 ht="1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 ht="1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 ht="15" x14ac:dyDescent="0.25">
      <c r="E29"/>
      <c r="F29"/>
      <c r="G29"/>
      <c r="H29"/>
      <c r="I29"/>
      <c r="J29"/>
      <c r="K29"/>
      <c r="L29"/>
      <c r="M29"/>
      <c r="N29"/>
      <c r="O29"/>
      <c r="P29"/>
    </row>
    <row r="30" spans="3:16" ht="15" x14ac:dyDescent="0.25">
      <c r="E30"/>
      <c r="F30"/>
      <c r="G30"/>
      <c r="H30"/>
      <c r="I30"/>
      <c r="J30"/>
      <c r="K30"/>
      <c r="L30"/>
      <c r="M30"/>
      <c r="N30"/>
      <c r="O30"/>
      <c r="P30"/>
    </row>
  </sheetData>
  <mergeCells count="1">
    <mergeCell ref="C2:P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PAINEL PRINCIPAL</vt:lpstr>
      <vt:lpstr>Configurações</vt:lpstr>
      <vt:lpstr>Contas a Receber</vt:lpstr>
      <vt:lpstr>Contas a Pagar</vt:lpstr>
      <vt:lpstr>GRÁFICOS</vt:lpstr>
      <vt:lpstr>Calcula Financiamento</vt:lpstr>
      <vt:lpstr>confirmacao_cp</vt:lpstr>
      <vt:lpstr>mes_cp</vt:lpstr>
      <vt:lpstr>plano_cp</vt:lpstr>
      <vt:lpstr>valor_cp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2017-07-26T23:26:11Z</dcterms:modified>
</cp:coreProperties>
</file>