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525" windowWidth="27795" windowHeight="13950" activeTab="1"/>
  </bookViews>
  <sheets>
    <sheet name="DATABASE" sheetId="4" r:id="rId1"/>
    <sheet name="Fuel" sheetId="1" r:id="rId2"/>
    <sheet name="Final LEED table" sheetId="9" r:id="rId3"/>
    <sheet name="Overview" sheetId="8" r:id="rId4"/>
    <sheet name="Sensible" sheetId="7" r:id="rId5"/>
    <sheet name="Sensible breakdown" sheetId="6" r:id="rId6"/>
    <sheet name="&lt;Testing&gt;" sheetId="2" r:id="rId7"/>
  </sheets>
  <externalReferences>
    <externalReference r:id="rId8"/>
  </externalReferences>
  <definedNames>
    <definedName name="dataTable" localSheetId="5">Table1[#All]</definedName>
    <definedName name="dataTable">Table1[#All]</definedName>
    <definedName name="project_name">[1]Parameters!$B$3</definedName>
    <definedName name="Results">DATABASE!$A$1:$F$246</definedName>
    <definedName name="workdays">[1]Parameters!$B$28</definedName>
  </definedNames>
  <calcPr calcId="145621"/>
</workbook>
</file>

<file path=xl/calcChain.xml><?xml version="1.0" encoding="utf-8"?>
<calcChain xmlns="http://schemas.openxmlformats.org/spreadsheetml/2006/main">
  <c r="G37" i="1" l="1"/>
  <c r="F37" i="1"/>
  <c r="N41" i="8" l="1"/>
  <c r="M41" i="8"/>
  <c r="L41" i="8"/>
  <c r="K41" i="8"/>
  <c r="J41" i="8"/>
  <c r="N40" i="8"/>
  <c r="M40" i="8"/>
  <c r="L40" i="8"/>
  <c r="K40" i="8"/>
  <c r="J40" i="8"/>
  <c r="N37" i="8"/>
  <c r="M37" i="8"/>
  <c r="L37" i="8"/>
  <c r="K37" i="8"/>
  <c r="J37" i="8"/>
  <c r="N36" i="8"/>
  <c r="M36" i="8"/>
  <c r="L36" i="8"/>
  <c r="K36" i="8"/>
  <c r="J36" i="8"/>
  <c r="N39" i="8"/>
  <c r="M39" i="8"/>
  <c r="L39" i="8"/>
  <c r="K39" i="8"/>
  <c r="J39" i="8"/>
  <c r="N38" i="8"/>
  <c r="M38" i="8"/>
  <c r="L38" i="8"/>
  <c r="K38" i="8"/>
  <c r="J38" i="8"/>
  <c r="N34" i="8"/>
  <c r="M34" i="8"/>
  <c r="L34" i="8"/>
  <c r="K34" i="8"/>
  <c r="J34" i="8"/>
  <c r="N33" i="8"/>
  <c r="M33" i="8"/>
  <c r="L33" i="8"/>
  <c r="K33" i="8"/>
  <c r="J33" i="8"/>
  <c r="N11" i="8"/>
  <c r="M11" i="8"/>
  <c r="L11" i="8"/>
  <c r="K11" i="8"/>
  <c r="J11" i="8"/>
  <c r="D11" i="8" s="1"/>
  <c r="N10" i="8"/>
  <c r="M10" i="8"/>
  <c r="L10" i="8"/>
  <c r="K10" i="8"/>
  <c r="J10" i="8"/>
  <c r="D10" i="8" s="1"/>
  <c r="N45" i="8"/>
  <c r="M45" i="8"/>
  <c r="L45" i="8"/>
  <c r="K45" i="8"/>
  <c r="J45" i="8"/>
  <c r="D45" i="8" s="1"/>
  <c r="N26" i="8"/>
  <c r="M26" i="8"/>
  <c r="L26" i="8"/>
  <c r="K26" i="8"/>
  <c r="E26" i="8" s="1"/>
  <c r="J26" i="8"/>
  <c r="D26" i="8" s="1"/>
  <c r="N25" i="8"/>
  <c r="M25" i="8"/>
  <c r="L25" i="8"/>
  <c r="K25" i="8"/>
  <c r="E25" i="8" s="1"/>
  <c r="J25" i="8"/>
  <c r="D25" i="8" s="1"/>
  <c r="N20" i="8"/>
  <c r="M20" i="8"/>
  <c r="L20" i="8"/>
  <c r="K20" i="8"/>
  <c r="J20" i="8"/>
  <c r="D20" i="8" s="1"/>
  <c r="N21" i="8"/>
  <c r="M21" i="8"/>
  <c r="L21" i="8"/>
  <c r="K21" i="8"/>
  <c r="J21" i="8"/>
  <c r="D21" i="8" s="1"/>
  <c r="N19" i="8"/>
  <c r="M19" i="8"/>
  <c r="L19" i="8"/>
  <c r="K19" i="8"/>
  <c r="J19" i="8"/>
  <c r="D19" i="8" s="1"/>
  <c r="N16" i="8"/>
  <c r="M16" i="8"/>
  <c r="M28" i="8" s="1"/>
  <c r="L16" i="8"/>
  <c r="K16" i="8"/>
  <c r="J16" i="8"/>
  <c r="D16" i="8" s="1"/>
  <c r="N15" i="8"/>
  <c r="M15" i="8"/>
  <c r="L15" i="8"/>
  <c r="K15" i="8"/>
  <c r="J15" i="8"/>
  <c r="D15" i="8" s="1"/>
  <c r="N14" i="8"/>
  <c r="M14" i="8"/>
  <c r="L14" i="8"/>
  <c r="K14" i="8"/>
  <c r="J14" i="8"/>
  <c r="D14" i="8" s="1"/>
  <c r="N9" i="8"/>
  <c r="M9" i="8"/>
  <c r="L9" i="8"/>
  <c r="K9" i="8"/>
  <c r="J9" i="8"/>
  <c r="D9" i="8" s="1"/>
  <c r="N8" i="8"/>
  <c r="M8" i="8"/>
  <c r="L8" i="8"/>
  <c r="K8" i="8"/>
  <c r="J8" i="8"/>
  <c r="D8" i="8" s="1"/>
  <c r="N44" i="8"/>
  <c r="M44" i="8"/>
  <c r="L44" i="8"/>
  <c r="K44" i="8"/>
  <c r="J44" i="8"/>
  <c r="N7" i="8"/>
  <c r="M7" i="8"/>
  <c r="L7" i="8"/>
  <c r="K7" i="8"/>
  <c r="J7" i="8"/>
  <c r="D7" i="8" s="1"/>
  <c r="N4" i="8"/>
  <c r="M4" i="8"/>
  <c r="L4" i="8"/>
  <c r="K4" i="8"/>
  <c r="J4" i="8"/>
  <c r="D4" i="8" s="1"/>
  <c r="N3" i="8"/>
  <c r="M3" i="8"/>
  <c r="L3" i="8"/>
  <c r="K3" i="8"/>
  <c r="J3" i="8"/>
  <c r="D3" i="8" s="1"/>
  <c r="N28" i="8" l="1"/>
  <c r="L28" i="8"/>
  <c r="J28" i="8"/>
  <c r="D28" i="8" s="1"/>
  <c r="K28" i="8"/>
  <c r="J27" i="8"/>
  <c r="D27" i="8" s="1"/>
  <c r="D34" i="8"/>
  <c r="D33" i="8"/>
  <c r="D36" i="8"/>
  <c r="D37" i="8"/>
  <c r="P41" i="8"/>
  <c r="N27" i="8"/>
  <c r="P7" i="8"/>
  <c r="E7" i="8" s="1"/>
  <c r="M27" i="8"/>
  <c r="N22" i="8"/>
  <c r="N29" i="8" s="1"/>
  <c r="P11" i="8"/>
  <c r="E11" i="8" s="1"/>
  <c r="P3" i="8"/>
  <c r="E3" i="8" s="1"/>
  <c r="P33" i="8"/>
  <c r="P37" i="8"/>
  <c r="P36" i="8"/>
  <c r="P45" i="8"/>
  <c r="E45" i="8" s="1"/>
  <c r="P34" i="8"/>
  <c r="P38" i="8"/>
  <c r="P21" i="8"/>
  <c r="E21" i="8" s="1"/>
  <c r="P40" i="8"/>
  <c r="P44" i="8"/>
  <c r="P16" i="8"/>
  <c r="E16" i="8" s="1"/>
  <c r="P10" i="8"/>
  <c r="E10" i="8" s="1"/>
  <c r="P4" i="8"/>
  <c r="E4" i="8" s="1"/>
  <c r="P26" i="8"/>
  <c r="P39" i="8"/>
  <c r="K27" i="8"/>
  <c r="E27" i="8" s="1"/>
  <c r="P9" i="8"/>
  <c r="E9" i="8" s="1"/>
  <c r="P15" i="8"/>
  <c r="E15" i="8" s="1"/>
  <c r="E33" i="8" s="1"/>
  <c r="L22" i="8"/>
  <c r="L30" i="8" s="1"/>
  <c r="P20" i="8"/>
  <c r="E20" i="8" s="1"/>
  <c r="P8" i="8"/>
  <c r="E8" i="8" s="1"/>
  <c r="M22" i="8"/>
  <c r="M30" i="8" s="1"/>
  <c r="P19" i="8"/>
  <c r="E19" i="8" s="1"/>
  <c r="L27" i="8"/>
  <c r="J22" i="8"/>
  <c r="P14" i="8"/>
  <c r="E14" i="8" s="1"/>
  <c r="K22" i="8"/>
  <c r="P25" i="8"/>
  <c r="G25" i="6"/>
  <c r="F25" i="6"/>
  <c r="E25" i="6"/>
  <c r="D25" i="6"/>
  <c r="C25" i="6"/>
  <c r="G24" i="6"/>
  <c r="F24" i="6"/>
  <c r="E24" i="6"/>
  <c r="D24" i="6"/>
  <c r="C24" i="6"/>
  <c r="G23" i="6"/>
  <c r="F23" i="6"/>
  <c r="E23" i="6"/>
  <c r="D23" i="6"/>
  <c r="C23" i="6"/>
  <c r="G22" i="6"/>
  <c r="F22" i="6"/>
  <c r="E22" i="6"/>
  <c r="D22" i="6"/>
  <c r="C22" i="6"/>
  <c r="G21" i="6"/>
  <c r="F21" i="6"/>
  <c r="E21" i="6"/>
  <c r="D21" i="6"/>
  <c r="C21" i="6"/>
  <c r="G20" i="6"/>
  <c r="F20" i="6"/>
  <c r="E20" i="6"/>
  <c r="D20" i="6"/>
  <c r="C20" i="6"/>
  <c r="G19" i="6"/>
  <c r="F19" i="6"/>
  <c r="E19" i="6"/>
  <c r="D19" i="6"/>
  <c r="C19" i="6"/>
  <c r="G18" i="6"/>
  <c r="F18" i="6"/>
  <c r="E18" i="6"/>
  <c r="D18" i="6"/>
  <c r="C18" i="6"/>
  <c r="G17" i="6"/>
  <c r="F17" i="6"/>
  <c r="E17" i="6"/>
  <c r="D17" i="6"/>
  <c r="C17" i="6"/>
  <c r="G16" i="6"/>
  <c r="F16" i="6"/>
  <c r="E16" i="6"/>
  <c r="D16" i="6"/>
  <c r="C16" i="6"/>
  <c r="G15" i="6"/>
  <c r="F15" i="6"/>
  <c r="E15" i="6"/>
  <c r="D15" i="6"/>
  <c r="C15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11" i="6"/>
  <c r="F11" i="6"/>
  <c r="E11" i="6"/>
  <c r="D11" i="6"/>
  <c r="C11" i="6"/>
  <c r="G10" i="6"/>
  <c r="F10" i="6"/>
  <c r="E10" i="6"/>
  <c r="D10" i="6"/>
  <c r="C10" i="6"/>
  <c r="N30" i="8" l="1"/>
  <c r="M29" i="8"/>
  <c r="P28" i="8"/>
  <c r="E28" i="8"/>
  <c r="L29" i="8"/>
  <c r="D22" i="8"/>
  <c r="J29" i="8"/>
  <c r="D29" i="8" s="1"/>
  <c r="J30" i="8"/>
  <c r="D30" i="8" s="1"/>
  <c r="K29" i="8"/>
  <c r="K30" i="8"/>
  <c r="D35" i="8"/>
  <c r="D38" i="8"/>
  <c r="E37" i="8"/>
  <c r="E36" i="8"/>
  <c r="E34" i="8"/>
  <c r="E35" i="8" s="1"/>
  <c r="P22" i="8"/>
  <c r="E22" i="8" s="1"/>
  <c r="P27" i="8"/>
  <c r="H15" i="6"/>
  <c r="H18" i="6"/>
  <c r="H23" i="6"/>
  <c r="H12" i="6"/>
  <c r="H20" i="6"/>
  <c r="H19" i="6"/>
  <c r="H13" i="6"/>
  <c r="H14" i="6"/>
  <c r="H21" i="6"/>
  <c r="H25" i="6"/>
  <c r="H16" i="6"/>
  <c r="H10" i="6"/>
  <c r="H24" i="6"/>
  <c r="H11" i="6"/>
  <c r="H22" i="6"/>
  <c r="H17" i="6"/>
  <c r="M14" i="1"/>
  <c r="N14" i="1"/>
  <c r="O14" i="1"/>
  <c r="N15" i="1"/>
  <c r="O15" i="1"/>
  <c r="M16" i="1"/>
  <c r="N16" i="1"/>
  <c r="O16" i="1"/>
  <c r="M17" i="1"/>
  <c r="O17" i="1"/>
  <c r="M18" i="1"/>
  <c r="N18" i="1"/>
  <c r="O18" i="1"/>
  <c r="M19" i="1"/>
  <c r="N19" i="1"/>
  <c r="M20" i="1"/>
  <c r="N20" i="1"/>
  <c r="O20" i="1"/>
  <c r="N21" i="1"/>
  <c r="O21" i="1"/>
  <c r="M22" i="1"/>
  <c r="N22" i="1"/>
  <c r="O22" i="1"/>
  <c r="N23" i="1"/>
  <c r="O23" i="1"/>
  <c r="M24" i="1"/>
  <c r="N24" i="1"/>
  <c r="O24" i="1"/>
  <c r="N25" i="1"/>
  <c r="O25" i="1"/>
  <c r="M26" i="1"/>
  <c r="N26" i="1"/>
  <c r="O26" i="1"/>
  <c r="N27" i="1"/>
  <c r="O27" i="1"/>
  <c r="M28" i="1"/>
  <c r="N28" i="1"/>
  <c r="O28" i="1"/>
  <c r="N29" i="1"/>
  <c r="O29" i="1"/>
  <c r="M30" i="1"/>
  <c r="N30" i="1"/>
  <c r="O30" i="1"/>
  <c r="N31" i="1"/>
  <c r="O31" i="1"/>
  <c r="M32" i="1"/>
  <c r="N32" i="1"/>
  <c r="O32" i="1"/>
  <c r="M33" i="1"/>
  <c r="O33" i="1"/>
  <c r="M34" i="1"/>
  <c r="N34" i="1"/>
  <c r="O34" i="1"/>
  <c r="M35" i="1"/>
  <c r="N35" i="1"/>
  <c r="M36" i="1"/>
  <c r="N36" i="1"/>
  <c r="O36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N55" i="1"/>
  <c r="O55" i="1"/>
  <c r="M56" i="1"/>
  <c r="N56" i="1"/>
  <c r="O56" i="1"/>
  <c r="N57" i="1"/>
  <c r="O57" i="1"/>
  <c r="M58" i="1"/>
  <c r="N58" i="1"/>
  <c r="O58" i="1"/>
  <c r="N13" i="1"/>
  <c r="O13" i="1"/>
  <c r="J14" i="1"/>
  <c r="K14" i="1"/>
  <c r="L14" i="1"/>
  <c r="K15" i="1"/>
  <c r="L15" i="1"/>
  <c r="J16" i="1"/>
  <c r="K16" i="1"/>
  <c r="L16" i="1"/>
  <c r="J17" i="1"/>
  <c r="L17" i="1"/>
  <c r="J18" i="1"/>
  <c r="K18" i="1"/>
  <c r="L18" i="1"/>
  <c r="J19" i="1"/>
  <c r="K19" i="1"/>
  <c r="J20" i="1"/>
  <c r="K20" i="1"/>
  <c r="L20" i="1"/>
  <c r="K21" i="1"/>
  <c r="L21" i="1"/>
  <c r="J22" i="1"/>
  <c r="K22" i="1"/>
  <c r="L22" i="1"/>
  <c r="K23" i="1"/>
  <c r="L23" i="1"/>
  <c r="J24" i="1"/>
  <c r="K24" i="1"/>
  <c r="L24" i="1"/>
  <c r="K25" i="1"/>
  <c r="L25" i="1"/>
  <c r="J26" i="1"/>
  <c r="K26" i="1"/>
  <c r="L26" i="1"/>
  <c r="K27" i="1"/>
  <c r="L27" i="1"/>
  <c r="J28" i="1"/>
  <c r="K28" i="1"/>
  <c r="L28" i="1"/>
  <c r="K29" i="1"/>
  <c r="L29" i="1"/>
  <c r="J30" i="1"/>
  <c r="K30" i="1"/>
  <c r="L30" i="1"/>
  <c r="K31" i="1"/>
  <c r="L31" i="1"/>
  <c r="J32" i="1"/>
  <c r="K32" i="1"/>
  <c r="L32" i="1"/>
  <c r="J33" i="1"/>
  <c r="L33" i="1"/>
  <c r="J34" i="1"/>
  <c r="K34" i="1"/>
  <c r="L34" i="1"/>
  <c r="J35" i="1"/>
  <c r="K35" i="1"/>
  <c r="J36" i="1"/>
  <c r="K36" i="1"/>
  <c r="L36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K55" i="1"/>
  <c r="L55" i="1"/>
  <c r="J56" i="1"/>
  <c r="K56" i="1"/>
  <c r="L56" i="1"/>
  <c r="K57" i="1"/>
  <c r="L57" i="1"/>
  <c r="J58" i="1"/>
  <c r="K58" i="1"/>
  <c r="L58" i="1"/>
  <c r="K13" i="1"/>
  <c r="L13" i="1"/>
  <c r="U58" i="1"/>
  <c r="T58" i="1"/>
  <c r="S58" i="1"/>
  <c r="R58" i="1"/>
  <c r="Z58" i="1" s="1"/>
  <c r="Q58" i="1"/>
  <c r="G58" i="1"/>
  <c r="H58" i="1" s="1"/>
  <c r="F58" i="1"/>
  <c r="U57" i="1"/>
  <c r="T57" i="1"/>
  <c r="S57" i="1"/>
  <c r="R57" i="1"/>
  <c r="Q57" i="1"/>
  <c r="E30" i="8" l="1"/>
  <c r="P30" i="8"/>
  <c r="E29" i="8"/>
  <c r="P29" i="8"/>
  <c r="E38" i="8"/>
  <c r="Z57" i="1"/>
  <c r="G57" i="1" s="1"/>
  <c r="M57" i="1" s="1"/>
  <c r="X58" i="1"/>
  <c r="W58" i="1"/>
  <c r="F57" i="1"/>
  <c r="J57" i="1" s="1"/>
  <c r="F36" i="1"/>
  <c r="F38" i="1"/>
  <c r="F40" i="1"/>
  <c r="F42" i="1"/>
  <c r="F44" i="1"/>
  <c r="F46" i="1"/>
  <c r="F48" i="1"/>
  <c r="F50" i="1"/>
  <c r="F52" i="1"/>
  <c r="F54" i="1"/>
  <c r="F56" i="1"/>
  <c r="H57" i="1" l="1"/>
  <c r="I19" i="2"/>
  <c r="G13" i="2"/>
  <c r="Q10" i="1"/>
  <c r="Q11" i="1" l="1"/>
  <c r="G14" i="1"/>
  <c r="H14" i="1" s="1"/>
  <c r="G16" i="1"/>
  <c r="H16" i="1" s="1"/>
  <c r="G18" i="1"/>
  <c r="H18" i="1" s="1"/>
  <c r="G20" i="1"/>
  <c r="H20" i="1" s="1"/>
  <c r="G22" i="1"/>
  <c r="H22" i="1" s="1"/>
  <c r="G24" i="1"/>
  <c r="H24" i="1" s="1"/>
  <c r="G26" i="1"/>
  <c r="H26" i="1" s="1"/>
  <c r="G28" i="1"/>
  <c r="H28" i="1" s="1"/>
  <c r="G30" i="1"/>
  <c r="H30" i="1" s="1"/>
  <c r="G32" i="1"/>
  <c r="H32" i="1" s="1"/>
  <c r="G34" i="1"/>
  <c r="H34" i="1" s="1"/>
  <c r="G36" i="1"/>
  <c r="H36" i="1" s="1"/>
  <c r="G38" i="1"/>
  <c r="H38" i="1" s="1"/>
  <c r="G40" i="1"/>
  <c r="H40" i="1" s="1"/>
  <c r="G42" i="1"/>
  <c r="H42" i="1" s="1"/>
  <c r="G44" i="1"/>
  <c r="H44" i="1" s="1"/>
  <c r="G46" i="1"/>
  <c r="H46" i="1" s="1"/>
  <c r="G48" i="1"/>
  <c r="H48" i="1" s="1"/>
  <c r="G50" i="1"/>
  <c r="H50" i="1" s="1"/>
  <c r="G52" i="1"/>
  <c r="H52" i="1" s="1"/>
  <c r="G54" i="1"/>
  <c r="H54" i="1" s="1"/>
  <c r="G56" i="1"/>
  <c r="H56" i="1" s="1"/>
  <c r="Z12" i="1"/>
  <c r="Z63" i="1"/>
  <c r="Z64" i="1"/>
  <c r="F14" i="1"/>
  <c r="F16" i="1"/>
  <c r="F18" i="1"/>
  <c r="F20" i="1"/>
  <c r="F22" i="1"/>
  <c r="F24" i="1"/>
  <c r="F26" i="1"/>
  <c r="F28" i="1"/>
  <c r="F30" i="1"/>
  <c r="F32" i="1"/>
  <c r="F34" i="1"/>
  <c r="E10" i="1"/>
  <c r="D10" i="1"/>
  <c r="Q26" i="1" l="1"/>
  <c r="R13" i="1"/>
  <c r="S26" i="1"/>
  <c r="T13" i="1"/>
  <c r="R26" i="1"/>
  <c r="R14" i="1"/>
  <c r="Q30" i="1"/>
  <c r="U13" i="1"/>
  <c r="R22" i="1"/>
  <c r="U35" i="1"/>
  <c r="R27" i="1"/>
  <c r="R28" i="1"/>
  <c r="S13" i="1"/>
  <c r="T17" i="1"/>
  <c r="R30" i="1"/>
  <c r="S19" i="1"/>
  <c r="Q22" i="1"/>
  <c r="Q53" i="1"/>
  <c r="F53" i="1" s="1"/>
  <c r="R62" i="1"/>
  <c r="Q54" i="1"/>
  <c r="Q39" i="1"/>
  <c r="F39" i="1" s="1"/>
  <c r="Q55" i="1"/>
  <c r="F55" i="1" s="1"/>
  <c r="J55" i="1" s="1"/>
  <c r="Q23" i="1"/>
  <c r="F23" i="1" s="1"/>
  <c r="J23" i="1" s="1"/>
  <c r="S45" i="1"/>
  <c r="S30" i="1"/>
  <c r="T18" i="1"/>
  <c r="Q46" i="1"/>
  <c r="S35" i="1"/>
  <c r="Q48" i="1"/>
  <c r="U16" i="1"/>
  <c r="Q44" i="1"/>
  <c r="Q33" i="1"/>
  <c r="F33" i="1" s="1"/>
  <c r="K33" i="1" s="1"/>
  <c r="S38" i="1"/>
  <c r="U21" i="1"/>
  <c r="U29" i="1"/>
  <c r="U37" i="1"/>
  <c r="Q41" i="1"/>
  <c r="F41" i="1" s="1"/>
  <c r="Q49" i="1"/>
  <c r="F49" i="1" s="1"/>
  <c r="Q60" i="1"/>
  <c r="F60" i="1" s="1"/>
  <c r="Q43" i="1"/>
  <c r="F43" i="1" s="1"/>
  <c r="Q32" i="1"/>
  <c r="Q13" i="1"/>
  <c r="F13" i="1" s="1"/>
  <c r="U47" i="1"/>
  <c r="U10" i="1"/>
  <c r="R38" i="1"/>
  <c r="R42" i="1"/>
  <c r="R50" i="1"/>
  <c r="Q31" i="1"/>
  <c r="F31" i="1" s="1"/>
  <c r="J31" i="1" s="1"/>
  <c r="Q56" i="1"/>
  <c r="W57" i="1" s="1"/>
  <c r="D57" i="1" s="1"/>
  <c r="U11" i="1"/>
  <c r="Q38" i="1"/>
  <c r="Q51" i="1"/>
  <c r="F51" i="1" s="1"/>
  <c r="Q61" i="1"/>
  <c r="F61" i="1" s="1"/>
  <c r="S15" i="1"/>
  <c r="T24" i="1"/>
  <c r="Q40" i="1"/>
  <c r="Q34" i="1"/>
  <c r="S22" i="1"/>
  <c r="T52" i="1"/>
  <c r="U54" i="1"/>
  <c r="S52" i="1"/>
  <c r="Q50" i="1"/>
  <c r="T47" i="1"/>
  <c r="R45" i="1"/>
  <c r="Q42" i="1"/>
  <c r="Q62" i="1"/>
  <c r="F62" i="1" s="1"/>
  <c r="U60" i="1"/>
  <c r="T54" i="1"/>
  <c r="R52" i="1"/>
  <c r="U49" i="1"/>
  <c r="S47" i="1"/>
  <c r="Q45" i="1"/>
  <c r="F45" i="1" s="1"/>
  <c r="U41" i="1"/>
  <c r="T60" i="1"/>
  <c r="U56" i="1"/>
  <c r="S54" i="1"/>
  <c r="Q52" i="1"/>
  <c r="T49" i="1"/>
  <c r="R47" i="1"/>
  <c r="U44" i="1"/>
  <c r="T41" i="1"/>
  <c r="U40" i="1"/>
  <c r="U61" i="1"/>
  <c r="S60" i="1"/>
  <c r="T56" i="1"/>
  <c r="R54" i="1"/>
  <c r="U51" i="1"/>
  <c r="S49" i="1"/>
  <c r="Q47" i="1"/>
  <c r="F47" i="1" s="1"/>
  <c r="T44" i="1"/>
  <c r="S41" i="1"/>
  <c r="T40" i="1"/>
  <c r="T61" i="1"/>
  <c r="R60" i="1"/>
  <c r="S56" i="1"/>
  <c r="T51" i="1"/>
  <c r="R49" i="1"/>
  <c r="U46" i="1"/>
  <c r="S44" i="1"/>
  <c r="R41" i="1"/>
  <c r="S40" i="1"/>
  <c r="S61" i="1"/>
  <c r="R56" i="1"/>
  <c r="X57" i="1" s="1"/>
  <c r="E57" i="1" s="1"/>
  <c r="U53" i="1"/>
  <c r="S51" i="1"/>
  <c r="T46" i="1"/>
  <c r="R44" i="1"/>
  <c r="R40" i="1"/>
  <c r="R61" i="1"/>
  <c r="T53" i="1"/>
  <c r="R51" i="1"/>
  <c r="U48" i="1"/>
  <c r="S46" i="1"/>
  <c r="U55" i="1"/>
  <c r="S53" i="1"/>
  <c r="T48" i="1"/>
  <c r="R46" i="1"/>
  <c r="U43" i="1"/>
  <c r="U39" i="1"/>
  <c r="T55" i="1"/>
  <c r="R53" i="1"/>
  <c r="U50" i="1"/>
  <c r="S48" i="1"/>
  <c r="T43" i="1"/>
  <c r="U42" i="1"/>
  <c r="T39" i="1"/>
  <c r="U62" i="1"/>
  <c r="S55" i="1"/>
  <c r="T50" i="1"/>
  <c r="R48" i="1"/>
  <c r="U45" i="1"/>
  <c r="S43" i="1"/>
  <c r="T42" i="1"/>
  <c r="S39" i="1"/>
  <c r="T62" i="1"/>
  <c r="R55" i="1"/>
  <c r="U52" i="1"/>
  <c r="S50" i="1"/>
  <c r="T45" i="1"/>
  <c r="R43" i="1"/>
  <c r="S42" i="1"/>
  <c r="R39" i="1"/>
  <c r="S62" i="1"/>
  <c r="T33" i="1"/>
  <c r="R32" i="1"/>
  <c r="U28" i="1"/>
  <c r="S28" i="1"/>
  <c r="R18" i="1"/>
  <c r="S17" i="1"/>
  <c r="R17" i="1"/>
  <c r="Q17" i="1"/>
  <c r="F17" i="1" s="1"/>
  <c r="Q28" i="1"/>
  <c r="R31" i="1"/>
  <c r="G31" i="1" s="1"/>
  <c r="M31" i="1" s="1"/>
  <c r="S27" i="1"/>
  <c r="R23" i="1"/>
  <c r="T34" i="1"/>
  <c r="U24" i="1"/>
  <c r="T32" i="1"/>
  <c r="S31" i="1"/>
  <c r="Q15" i="1"/>
  <c r="F15" i="1" s="1"/>
  <c r="J15" i="1" s="1"/>
  <c r="U32" i="1"/>
  <c r="S18" i="1"/>
  <c r="S32" i="1"/>
  <c r="T28" i="1"/>
  <c r="Q18" i="1"/>
  <c r="U34" i="1"/>
  <c r="R34" i="1"/>
  <c r="Q27" i="1"/>
  <c r="F27" i="1" s="1"/>
  <c r="J27" i="1" s="1"/>
  <c r="S24" i="1"/>
  <c r="T16" i="1"/>
  <c r="S34" i="1"/>
  <c r="R24" i="1"/>
  <c r="S16" i="1"/>
  <c r="R15" i="1"/>
  <c r="S33" i="1"/>
  <c r="Q24" i="1"/>
  <c r="R16" i="1"/>
  <c r="R33" i="1"/>
  <c r="G33" i="1" s="1"/>
  <c r="N33" i="1" s="1"/>
  <c r="S23" i="1"/>
  <c r="U18" i="1"/>
  <c r="Q16" i="1"/>
  <c r="T35" i="1"/>
  <c r="U19" i="1"/>
  <c r="T19" i="1"/>
  <c r="Q19" i="1"/>
  <c r="F19" i="1" s="1"/>
  <c r="R19" i="1"/>
  <c r="Q35" i="1"/>
  <c r="F35" i="1" s="1"/>
  <c r="L35" i="1" s="1"/>
  <c r="R35" i="1"/>
  <c r="G35" i="1" s="1"/>
  <c r="O35" i="1" s="1"/>
  <c r="Q20" i="1"/>
  <c r="R20" i="1"/>
  <c r="S20" i="1"/>
  <c r="U20" i="1"/>
  <c r="T20" i="1"/>
  <c r="Q36" i="1"/>
  <c r="R36" i="1"/>
  <c r="S36" i="1"/>
  <c r="T36" i="1"/>
  <c r="U36" i="1"/>
  <c r="S21" i="1"/>
  <c r="Q21" i="1"/>
  <c r="F21" i="1" s="1"/>
  <c r="J21" i="1" s="1"/>
  <c r="R21" i="1"/>
  <c r="T21" i="1"/>
  <c r="S25" i="1"/>
  <c r="Q25" i="1"/>
  <c r="F25" i="1" s="1"/>
  <c r="J25" i="1" s="1"/>
  <c r="R25" i="1"/>
  <c r="T25" i="1"/>
  <c r="Q29" i="1"/>
  <c r="F29" i="1" s="1"/>
  <c r="J29" i="1" s="1"/>
  <c r="S29" i="1"/>
  <c r="R29" i="1"/>
  <c r="T29" i="1"/>
  <c r="R37" i="1"/>
  <c r="S37" i="1"/>
  <c r="Q37" i="1"/>
  <c r="J37" i="1" s="1"/>
  <c r="T37" i="1"/>
  <c r="U25" i="1"/>
  <c r="U15" i="1"/>
  <c r="T10" i="1"/>
  <c r="U31" i="1"/>
  <c r="U27" i="1"/>
  <c r="U23" i="1"/>
  <c r="S10" i="1"/>
  <c r="U38" i="1"/>
  <c r="T31" i="1"/>
  <c r="U30" i="1"/>
  <c r="T27" i="1"/>
  <c r="U26" i="1"/>
  <c r="T23" i="1"/>
  <c r="U22" i="1"/>
  <c r="T15" i="1"/>
  <c r="R10" i="1"/>
  <c r="T38" i="1"/>
  <c r="U33" i="1"/>
  <c r="T30" i="1"/>
  <c r="T26" i="1"/>
  <c r="T22" i="1"/>
  <c r="U17" i="1"/>
  <c r="Q14" i="1"/>
  <c r="T11" i="1"/>
  <c r="U14" i="1"/>
  <c r="S11" i="1"/>
  <c r="T14" i="1"/>
  <c r="R11" i="1"/>
  <c r="S14" i="1"/>
  <c r="L19" i="1" l="1"/>
  <c r="D85" i="1"/>
  <c r="K17" i="1"/>
  <c r="K60" i="1" s="1"/>
  <c r="F66" i="1" s="1"/>
  <c r="L60" i="1"/>
  <c r="F67" i="1" s="1"/>
  <c r="F89" i="1"/>
  <c r="J89" i="1" s="1"/>
  <c r="D89" i="1"/>
  <c r="J13" i="1"/>
  <c r="J60" i="1" s="1"/>
  <c r="F65" i="1" s="1"/>
  <c r="E65" i="1" s="1"/>
  <c r="Z10" i="1"/>
  <c r="F86" i="1"/>
  <c r="D86" i="1"/>
  <c r="F85" i="1"/>
  <c r="J85" i="1" s="1"/>
  <c r="F87" i="1"/>
  <c r="D87" i="1"/>
  <c r="D88" i="1"/>
  <c r="F88" i="1"/>
  <c r="J88" i="1" s="1"/>
  <c r="G88" i="1"/>
  <c r="E88" i="1"/>
  <c r="Z18" i="1"/>
  <c r="Z24" i="1"/>
  <c r="Z26" i="1"/>
  <c r="Z55" i="1"/>
  <c r="Z33" i="1"/>
  <c r="H33" i="1" s="1"/>
  <c r="Z43" i="1"/>
  <c r="G43" i="1" s="1"/>
  <c r="H43" i="1" s="1"/>
  <c r="Z62" i="1"/>
  <c r="G62" i="1" s="1"/>
  <c r="Z25" i="1"/>
  <c r="G25" i="1" s="1"/>
  <c r="M25" i="1" s="1"/>
  <c r="Z32" i="1"/>
  <c r="Z56" i="1"/>
  <c r="Z52" i="1"/>
  <c r="Z30" i="1"/>
  <c r="Z34" i="1"/>
  <c r="Z13" i="1"/>
  <c r="G13" i="1" s="1"/>
  <c r="M13" i="1" s="1"/>
  <c r="Z53" i="1"/>
  <c r="G53" i="1" s="1"/>
  <c r="H53" i="1" s="1"/>
  <c r="Z51" i="1"/>
  <c r="G51" i="1" s="1"/>
  <c r="H51" i="1" s="1"/>
  <c r="Z21" i="1"/>
  <c r="G21" i="1" s="1"/>
  <c r="M21" i="1" s="1"/>
  <c r="Z16" i="1"/>
  <c r="Z31" i="1"/>
  <c r="H31" i="1" s="1"/>
  <c r="Z38" i="1"/>
  <c r="Z15" i="1"/>
  <c r="G15" i="1" s="1"/>
  <c r="M15" i="1" s="1"/>
  <c r="Z17" i="1"/>
  <c r="G17" i="1" s="1"/>
  <c r="N17" i="1" s="1"/>
  <c r="Z40" i="1"/>
  <c r="Z45" i="1"/>
  <c r="G45" i="1" s="1"/>
  <c r="H45" i="1" s="1"/>
  <c r="Z11" i="1"/>
  <c r="Z36" i="1"/>
  <c r="Z60" i="1"/>
  <c r="Z14" i="1"/>
  <c r="Z20" i="1"/>
  <c r="X40" i="1"/>
  <c r="E40" i="1" s="1"/>
  <c r="Z39" i="1"/>
  <c r="G39" i="1" s="1"/>
  <c r="H39" i="1" s="1"/>
  <c r="Z47" i="1"/>
  <c r="G47" i="1" s="1"/>
  <c r="H47" i="1" s="1"/>
  <c r="Z41" i="1"/>
  <c r="G41" i="1" s="1"/>
  <c r="H41" i="1" s="1"/>
  <c r="Z50" i="1"/>
  <c r="Z28" i="1"/>
  <c r="Z35" i="1"/>
  <c r="H35" i="1" s="1"/>
  <c r="Z61" i="1"/>
  <c r="G61" i="1" s="1"/>
  <c r="H61" i="1" s="1"/>
  <c r="Z42" i="1"/>
  <c r="Z27" i="1"/>
  <c r="G27" i="1" s="1"/>
  <c r="M27" i="1" s="1"/>
  <c r="Z23" i="1"/>
  <c r="G23" i="1" s="1"/>
  <c r="M23" i="1" s="1"/>
  <c r="Z48" i="1"/>
  <c r="Z49" i="1"/>
  <c r="G49" i="1" s="1"/>
  <c r="H49" i="1" s="1"/>
  <c r="Z54" i="1"/>
  <c r="Z22" i="1"/>
  <c r="Z37" i="1"/>
  <c r="M37" i="1" s="1"/>
  <c r="Z19" i="1"/>
  <c r="G19" i="1" s="1"/>
  <c r="O19" i="1" s="1"/>
  <c r="Z29" i="1"/>
  <c r="G29" i="1" s="1"/>
  <c r="M29" i="1" s="1"/>
  <c r="Z46" i="1"/>
  <c r="Z44" i="1"/>
  <c r="W62" i="1"/>
  <c r="D62" i="1" s="1"/>
  <c r="X21" i="1"/>
  <c r="E21" i="1" s="1"/>
  <c r="X30" i="1"/>
  <c r="E30" i="1" s="1"/>
  <c r="W44" i="1"/>
  <c r="D44" i="1" s="1"/>
  <c r="X14" i="1"/>
  <c r="E14" i="1" s="1"/>
  <c r="W13" i="1"/>
  <c r="D13" i="1" s="1"/>
  <c r="W54" i="1"/>
  <c r="D54" i="1" s="1"/>
  <c r="X26" i="1"/>
  <c r="E26" i="1" s="1"/>
  <c r="W48" i="1"/>
  <c r="D48" i="1" s="1"/>
  <c r="X46" i="1"/>
  <c r="E46" i="1" s="1"/>
  <c r="X29" i="1"/>
  <c r="E29" i="1" s="1"/>
  <c r="W38" i="1"/>
  <c r="D38" i="1" s="1"/>
  <c r="W19" i="1"/>
  <c r="D19" i="1" s="1"/>
  <c r="X52" i="1"/>
  <c r="E52" i="1" s="1"/>
  <c r="X17" i="1"/>
  <c r="E17" i="1" s="1"/>
  <c r="X49" i="1"/>
  <c r="E49" i="1" s="1"/>
  <c r="W33" i="1"/>
  <c r="D33" i="1" s="1"/>
  <c r="W21" i="1"/>
  <c r="D21" i="1" s="1"/>
  <c r="X47" i="1"/>
  <c r="E47" i="1" s="1"/>
  <c r="W31" i="1"/>
  <c r="D31" i="1" s="1"/>
  <c r="W47" i="1"/>
  <c r="D47" i="1" s="1"/>
  <c r="W27" i="1"/>
  <c r="D27" i="1" s="1"/>
  <c r="W56" i="1"/>
  <c r="D56" i="1" s="1"/>
  <c r="W26" i="1"/>
  <c r="D26" i="1" s="1"/>
  <c r="W52" i="1"/>
  <c r="D52" i="1" s="1"/>
  <c r="X51" i="1"/>
  <c r="E51" i="1" s="1"/>
  <c r="W40" i="1"/>
  <c r="D40" i="1" s="1"/>
  <c r="X31" i="1"/>
  <c r="E31" i="1" s="1"/>
  <c r="W34" i="1"/>
  <c r="D34" i="1" s="1"/>
  <c r="X36" i="1"/>
  <c r="E36" i="1" s="1"/>
  <c r="W32" i="1"/>
  <c r="D32" i="1" s="1"/>
  <c r="W36" i="1"/>
  <c r="D36" i="1" s="1"/>
  <c r="W17" i="1"/>
  <c r="D17" i="1" s="1"/>
  <c r="X41" i="1"/>
  <c r="E41" i="1" s="1"/>
  <c r="X22" i="1"/>
  <c r="E22" i="1" s="1"/>
  <c r="W29" i="1"/>
  <c r="D29" i="1" s="1"/>
  <c r="X19" i="1"/>
  <c r="E19" i="1" s="1"/>
  <c r="X44" i="1"/>
  <c r="E44" i="1" s="1"/>
  <c r="X55" i="1"/>
  <c r="E55" i="1" s="1"/>
  <c r="W16" i="1"/>
  <c r="D16" i="1" s="1"/>
  <c r="W22" i="1"/>
  <c r="D22" i="1" s="1"/>
  <c r="X25" i="1"/>
  <c r="E25" i="1" s="1"/>
  <c r="X34" i="1"/>
  <c r="E34" i="1" s="1"/>
  <c r="W28" i="1"/>
  <c r="D28" i="1" s="1"/>
  <c r="X62" i="1"/>
  <c r="E62" i="1" s="1"/>
  <c r="X27" i="1"/>
  <c r="E27" i="1" s="1"/>
  <c r="W50" i="1"/>
  <c r="D50" i="1" s="1"/>
  <c r="X38" i="1"/>
  <c r="E38" i="1" s="1"/>
  <c r="X48" i="1"/>
  <c r="E48" i="1" s="1"/>
  <c r="W42" i="1"/>
  <c r="D42" i="1" s="1"/>
  <c r="W45" i="1"/>
  <c r="D45" i="1" s="1"/>
  <c r="W24" i="1"/>
  <c r="D24" i="1" s="1"/>
  <c r="W23" i="1"/>
  <c r="D23" i="1" s="1"/>
  <c r="X61" i="1"/>
  <c r="E61" i="1" s="1"/>
  <c r="X16" i="1"/>
  <c r="E16" i="1" s="1"/>
  <c r="X33" i="1"/>
  <c r="E33" i="1" s="1"/>
  <c r="W60" i="1"/>
  <c r="D60" i="1" s="1"/>
  <c r="W25" i="1"/>
  <c r="D25" i="1" s="1"/>
  <c r="X32" i="1"/>
  <c r="E32" i="1" s="1"/>
  <c r="X56" i="1"/>
  <c r="E56" i="1" s="1"/>
  <c r="W46" i="1"/>
  <c r="D46" i="1" s="1"/>
  <c r="W61" i="1"/>
  <c r="D61" i="1" s="1"/>
  <c r="W49" i="1"/>
  <c r="D49" i="1" s="1"/>
  <c r="X15" i="1"/>
  <c r="E15" i="1" s="1"/>
  <c r="W51" i="1"/>
  <c r="D51" i="1" s="1"/>
  <c r="X42" i="1"/>
  <c r="E42" i="1" s="1"/>
  <c r="W53" i="1"/>
  <c r="D53" i="1" s="1"/>
  <c r="W30" i="1"/>
  <c r="D30" i="1" s="1"/>
  <c r="X37" i="1"/>
  <c r="E37" i="1" s="1"/>
  <c r="X20" i="1"/>
  <c r="E20" i="1" s="1"/>
  <c r="X45" i="1"/>
  <c r="E45" i="1" s="1"/>
  <c r="W35" i="1"/>
  <c r="D35" i="1" s="1"/>
  <c r="W14" i="1"/>
  <c r="D14" i="1" s="1"/>
  <c r="W41" i="1"/>
  <c r="D41" i="1" s="1"/>
  <c r="W55" i="1"/>
  <c r="D55" i="1" s="1"/>
  <c r="W15" i="1"/>
  <c r="D15" i="1" s="1"/>
  <c r="X28" i="1"/>
  <c r="E28" i="1" s="1"/>
  <c r="X13" i="1"/>
  <c r="E13" i="1" s="1"/>
  <c r="W37" i="1"/>
  <c r="D37" i="1" s="1"/>
  <c r="W20" i="1"/>
  <c r="D20" i="1" s="1"/>
  <c r="W18" i="1"/>
  <c r="D18" i="1" s="1"/>
  <c r="X54" i="1"/>
  <c r="E54" i="1" s="1"/>
  <c r="W43" i="1"/>
  <c r="D43" i="1" s="1"/>
  <c r="X35" i="1"/>
  <c r="E35" i="1" s="1"/>
  <c r="X23" i="1"/>
  <c r="E23" i="1" s="1"/>
  <c r="X24" i="1"/>
  <c r="E24" i="1" s="1"/>
  <c r="X39" i="1"/>
  <c r="E39" i="1" s="1"/>
  <c r="X18" i="1"/>
  <c r="E18" i="1" s="1"/>
  <c r="X60" i="1"/>
  <c r="E60" i="1" s="1"/>
  <c r="X50" i="1"/>
  <c r="E50" i="1" s="1"/>
  <c r="X43" i="1"/>
  <c r="E43" i="1" s="1"/>
  <c r="X53" i="1"/>
  <c r="E53" i="1" s="1"/>
  <c r="W39" i="1"/>
  <c r="D39" i="1" s="1"/>
  <c r="E66" i="1" l="1"/>
  <c r="F71" i="1"/>
  <c r="F70" i="1"/>
  <c r="E67" i="1"/>
  <c r="F72" i="1"/>
  <c r="H29" i="1"/>
  <c r="G85" i="1"/>
  <c r="E85" i="1"/>
  <c r="O60" i="1"/>
  <c r="G67" i="1" s="1"/>
  <c r="H27" i="1"/>
  <c r="H37" i="1"/>
  <c r="H17" i="1"/>
  <c r="N60" i="1"/>
  <c r="G66" i="1" s="1"/>
  <c r="H15" i="1"/>
  <c r="H25" i="1"/>
  <c r="G89" i="1"/>
  <c r="E89" i="1"/>
  <c r="G60" i="1"/>
  <c r="H60" i="1" s="1"/>
  <c r="J86" i="1"/>
  <c r="H23" i="1"/>
  <c r="G87" i="1"/>
  <c r="E87" i="1"/>
  <c r="H21" i="1"/>
  <c r="E86" i="1"/>
  <c r="G86" i="1"/>
  <c r="G55" i="1"/>
  <c r="M55" i="1" s="1"/>
  <c r="M60" i="1" s="1"/>
  <c r="G65" i="1" s="1"/>
  <c r="H19" i="1"/>
  <c r="H13" i="1"/>
  <c r="H62" i="1"/>
  <c r="F76" i="1" l="1"/>
  <c r="G70" i="1"/>
  <c r="H70" i="1" s="1"/>
  <c r="H65" i="1"/>
  <c r="G72" i="1"/>
  <c r="H72" i="1" s="1"/>
  <c r="H67" i="1"/>
  <c r="G71" i="1"/>
  <c r="H71" i="1" s="1"/>
  <c r="H66" i="1"/>
  <c r="H55" i="1"/>
  <c r="G76" i="1" l="1"/>
  <c r="H76" i="1" s="1"/>
  <c r="H78" i="1" s="1"/>
</calcChain>
</file>

<file path=xl/sharedStrings.xml><?xml version="1.0" encoding="utf-8"?>
<sst xmlns="http://schemas.openxmlformats.org/spreadsheetml/2006/main" count="1439" uniqueCount="550">
  <si>
    <t>MWh</t>
  </si>
  <si>
    <t>Heating</t>
  </si>
  <si>
    <t>Cooling</t>
  </si>
  <si>
    <t>Pumps</t>
  </si>
  <si>
    <t>Fans</t>
  </si>
  <si>
    <t>Item</t>
  </si>
  <si>
    <t xml:space="preserve">Building: </t>
  </si>
  <si>
    <t>-</t>
  </si>
  <si>
    <t>Baseline</t>
  </si>
  <si>
    <t>Input Verification and Results Summary</t>
  </si>
  <si>
    <t>Program Version and Build</t>
  </si>
  <si>
    <t>Value</t>
  </si>
  <si>
    <t>RunPeriod</t>
  </si>
  <si>
    <t>Weather File</t>
  </si>
  <si>
    <t>BRATISLAVA - SVK IWEC Data WMO#=118160</t>
  </si>
  <si>
    <t>Latitude [deg]</t>
  </si>
  <si>
    <t>Longitude [deg]</t>
  </si>
  <si>
    <t>Elevation [m]</t>
  </si>
  <si>
    <t>Time Zone</t>
  </si>
  <si>
    <t>North Axis Angle [deg]</t>
  </si>
  <si>
    <t>Rotation for Appendix G [deg]</t>
  </si>
  <si>
    <t>Hours Simulated [hrs]</t>
  </si>
  <si>
    <t>LEED Summary</t>
  </si>
  <si>
    <t>Interior Lighting</t>
  </si>
  <si>
    <t>Electric Energy Use **[MWh]</t>
  </si>
  <si>
    <t>Electric Demand [W]</t>
  </si>
  <si>
    <t>Natural Gas Energy Use **[MWh]</t>
  </si>
  <si>
    <t>Natural Gas Demand [W]</t>
  </si>
  <si>
    <t>Additional Energy Use **[MWh]</t>
  </si>
  <si>
    <t>Additional Demand [W]</t>
  </si>
  <si>
    <t>Exterior Lighting</t>
  </si>
  <si>
    <t>Space Heating</t>
  </si>
  <si>
    <t>Space Cooling</t>
  </si>
  <si>
    <t>Heat Rejection</t>
  </si>
  <si>
    <t>Fans-Interior</t>
  </si>
  <si>
    <t>Fans-Parking Garage</t>
  </si>
  <si>
    <t>Service Water Heating</t>
  </si>
  <si>
    <t>Receptacle Equipment</t>
  </si>
  <si>
    <t>Interior Lighting (process)</t>
  </si>
  <si>
    <t>Refrigeration Equipment</t>
  </si>
  <si>
    <t>Cooking</t>
  </si>
  <si>
    <t>Industrial Process</t>
  </si>
  <si>
    <t>Elevators and Escalators</t>
  </si>
  <si>
    <t>Total Line</t>
  </si>
  <si>
    <t>Annual Building Utility Performance Summary</t>
  </si>
  <si>
    <t>Total Site Energy</t>
  </si>
  <si>
    <t>Total Energy *[MWh]</t>
  </si>
  <si>
    <t>Energy Per Total Building Area [kWh/m2]</t>
  </si>
  <si>
    <t>Energy Per Conditioned Building Area [kWh/m2]</t>
  </si>
  <si>
    <t>Net Site Energy</t>
  </si>
  <si>
    <t>Total Source Energy</t>
  </si>
  <si>
    <t>Net Source Energy</t>
  </si>
  <si>
    <t>Total Building Area</t>
  </si>
  <si>
    <t>Area [m2]</t>
  </si>
  <si>
    <t>Net Conditioned Building Area</t>
  </si>
  <si>
    <t>Unconditioned Building Area</t>
  </si>
  <si>
    <t>Electricity *[MWh]</t>
  </si>
  <si>
    <t>Natural Gas *[MWh]</t>
  </si>
  <si>
    <t>Additional Fuel *[MWh]</t>
  </si>
  <si>
    <t>District Cooling *[MWh]</t>
  </si>
  <si>
    <t>District Heating *[MWh]</t>
  </si>
  <si>
    <t>Water [m3]</t>
  </si>
  <si>
    <t>Interior Equipment</t>
  </si>
  <si>
    <t>Exterior Equipment</t>
  </si>
  <si>
    <t>Humidification</t>
  </si>
  <si>
    <t>Heat Recovery</t>
  </si>
  <si>
    <t>Water Systems</t>
  </si>
  <si>
    <t>Refrigeration</t>
  </si>
  <si>
    <t>Generators</t>
  </si>
  <si>
    <t>Total End Uses</t>
  </si>
  <si>
    <t>Time Setpoint Not Met During Occupied Heating</t>
  </si>
  <si>
    <t>Facility [Hours]</t>
  </si>
  <si>
    <t>Time Setpoint Not Met During Occupied Cooling</t>
  </si>
  <si>
    <t>Time Not Comfortable Based on Simple ASHRAE 55-2004</t>
  </si>
  <si>
    <t>Gross Wall Area [m2]</t>
  </si>
  <si>
    <t>Total</t>
  </si>
  <si>
    <t>North (315 to 45 deg)</t>
  </si>
  <si>
    <t>East (45 to 135 deg)</t>
  </si>
  <si>
    <t>South (135 to 225 deg)</t>
  </si>
  <si>
    <t>West (225 to 315 deg)</t>
  </si>
  <si>
    <t>Window Opening Area [m2]</t>
  </si>
  <si>
    <t>Lighting</t>
  </si>
  <si>
    <t>Envelope</t>
  </si>
  <si>
    <t>Average External U</t>
  </si>
  <si>
    <t>Average Window U</t>
  </si>
  <si>
    <t>Zone Summary</t>
  </si>
  <si>
    <t>Total Area</t>
  </si>
  <si>
    <t>m2</t>
  </si>
  <si>
    <t>Conditioned Area</t>
  </si>
  <si>
    <t>Unconditioned Area</t>
  </si>
  <si>
    <t>Avg Lighting LPD</t>
  </si>
  <si>
    <t>W/m2</t>
  </si>
  <si>
    <t>Avg Occupancy Density</t>
  </si>
  <si>
    <t>m2/Pers</t>
  </si>
  <si>
    <t>Avg Plug load</t>
  </si>
  <si>
    <t>W/m2 [-]</t>
  </si>
  <si>
    <t>Outdoor Air Summary</t>
  </si>
  <si>
    <t>Baseline2</t>
  </si>
  <si>
    <t>Baseline3</t>
  </si>
  <si>
    <t>Baseline4</t>
  </si>
  <si>
    <t>Space cooling</t>
  </si>
  <si>
    <t>FLH</t>
  </si>
  <si>
    <t>Occupancy</t>
  </si>
  <si>
    <t>LEED SummaryInterior Lighting (process)Electric Energy Use **[MWh]</t>
  </si>
  <si>
    <t>LEED SummaryInterior Lighting (process)Electric Demand [W]</t>
  </si>
  <si>
    <t>LEED SummaryRefrigeration EquipmentElectric Energy Use **[MWh]</t>
  </si>
  <si>
    <t>LEED SummaryRefrigeration EquipmentElectric Demand [W]</t>
  </si>
  <si>
    <t>LEED SummaryCookingElectric Energy Use **[MWh]</t>
  </si>
  <si>
    <t>LEED SummaryCookingElectric Demand [W]</t>
  </si>
  <si>
    <t>LEED SummaryCookingNatural Gas Energy Use **[MWh]</t>
  </si>
  <si>
    <t>LEED SummaryCookingNatural Gas Demand [W]</t>
  </si>
  <si>
    <t>LEED SummaryCookingAdditional Energy Use **[MWh]</t>
  </si>
  <si>
    <t>LEED SummaryCookingAdditional Demand [W]</t>
  </si>
  <si>
    <t>LEED SummaryIndustrial ProcessElectric Energy Use **[MWh]</t>
  </si>
  <si>
    <t>LEED SummaryIndustrial ProcessElectric Demand [W]</t>
  </si>
  <si>
    <t>LEED SummaryIndustrial ProcessNatural Gas Energy Use **[MWh]</t>
  </si>
  <si>
    <t>LEED SummaryIndustrial ProcessNatural Gas Demand [W]</t>
  </si>
  <si>
    <t>LEED SummaryIndustrial ProcessAdditional Energy Use **[MWh]</t>
  </si>
  <si>
    <t>LEED SummaryIndustrial ProcessAdditional Demand [W]</t>
  </si>
  <si>
    <t>Plug load</t>
  </si>
  <si>
    <t>Heat rejection</t>
  </si>
  <si>
    <t>Space heating elec</t>
  </si>
  <si>
    <t>Space heating gas</t>
  </si>
  <si>
    <t>DHW elec</t>
  </si>
  <si>
    <t>DHW gas</t>
  </si>
  <si>
    <t>DHW other</t>
  </si>
  <si>
    <t>Space heating other</t>
  </si>
  <si>
    <t>Elevators</t>
  </si>
  <si>
    <t>Total elec</t>
  </si>
  <si>
    <t>Total gas</t>
  </si>
  <si>
    <t>Total other</t>
  </si>
  <si>
    <t>BL</t>
  </si>
  <si>
    <t>AD</t>
  </si>
  <si>
    <t>Heating kWh/m2</t>
  </si>
  <si>
    <t>Other Fuel</t>
  </si>
  <si>
    <t>Elec</t>
  </si>
  <si>
    <t>USD</t>
  </si>
  <si>
    <t>Parking fans</t>
  </si>
  <si>
    <t>Per conditioned area</t>
  </si>
  <si>
    <t>Per total area</t>
  </si>
  <si>
    <t>Diff (%)</t>
  </si>
  <si>
    <t>Item Building:  -</t>
  </si>
  <si>
    <t>Proposed</t>
  </si>
  <si>
    <t>Input Verification and Results Summary Program Version and Build Value</t>
  </si>
  <si>
    <t>Input Verification and Results Summary RunPeriod Value</t>
  </si>
  <si>
    <t>Input Verification and Results Summary Weather File Value</t>
  </si>
  <si>
    <t>Input Verification and Results Summary Latitude [deg] Value</t>
  </si>
  <si>
    <t>Input Verification and Results Summary Longitude [deg] Value</t>
  </si>
  <si>
    <t>Input Verification and Results Summary Elevation [m] Value</t>
  </si>
  <si>
    <t>Input Verification and Results Summary Time Zone Value</t>
  </si>
  <si>
    <t>Input Verification and Results Summary North Axis Angle [deg] Value</t>
  </si>
  <si>
    <t>Input Verification and Results Summary Rotation for Appendix G [deg] Value</t>
  </si>
  <si>
    <t>Input Verification and Results Summary Hours Simulated [hrs] Value</t>
  </si>
  <si>
    <t>LEED Summary Interior Lighting Electric Energy Use [GJ]</t>
  </si>
  <si>
    <t>LEED Summary Interior Lighting Electric Demand [W]</t>
  </si>
  <si>
    <t>LEED Summary Interior Lighting Natural Gas Energy Use [GJ]</t>
  </si>
  <si>
    <t>LEED Summary Interior Lighting Natural Gas Demand [W]</t>
  </si>
  <si>
    <t>LEED Summary Interior Lighting Additional Energy Use [GJ]</t>
  </si>
  <si>
    <t>LEED Summary Interior Lighting Additional Demand [W]</t>
  </si>
  <si>
    <t>LEED Summary Exterior Lighting Electric Energy Use [GJ]</t>
  </si>
  <si>
    <t>LEED Summary Exterior Lighting Electric Demand [W]</t>
  </si>
  <si>
    <t>LEED Summary Exterior Lighting Natural Gas Energy Use [GJ]</t>
  </si>
  <si>
    <t>LEED Summary Exterior Lighting Natural Gas Demand [W]</t>
  </si>
  <si>
    <t>LEED Summary Exterior Lighting Additional Energy Use [GJ]</t>
  </si>
  <si>
    <t>LEED Summary Exterior Lighting Additional Demand [W]</t>
  </si>
  <si>
    <t>LEED Summary Space Heating Electric Energy Use [GJ]</t>
  </si>
  <si>
    <t>LEED Summary Space Heating Electric Demand [W]</t>
  </si>
  <si>
    <t>LEED Summary Space Heating Natural Gas Energy Use [GJ]</t>
  </si>
  <si>
    <t>LEED Summary Space Heating Natural Gas Demand [W]</t>
  </si>
  <si>
    <t>LEED Summary Space Heating Additional Energy Use [GJ]</t>
  </si>
  <si>
    <t>LEED Summary Space Heating Additional Demand [W]</t>
  </si>
  <si>
    <t>LEED Summary Space Cooling Electric Energy Use [GJ]</t>
  </si>
  <si>
    <t>LEED Summary Space Cooling Electric Demand [W]</t>
  </si>
  <si>
    <t>LEED Summary Space Cooling Natural Gas Energy Use [GJ]</t>
  </si>
  <si>
    <t>LEED Summary Space Cooling Natural Gas Demand [W]</t>
  </si>
  <si>
    <t>LEED Summary Space Cooling Additional Energy Use [GJ]</t>
  </si>
  <si>
    <t>LEED Summary Space Cooling Additional Demand [W]</t>
  </si>
  <si>
    <t>LEED Summary Pumps Electric Energy Use [GJ]</t>
  </si>
  <si>
    <t>LEED Summary Pumps Electric Demand [W]</t>
  </si>
  <si>
    <t>LEED Summary Pumps Natural Gas Energy Use [GJ]</t>
  </si>
  <si>
    <t>LEED Summary Pumps Natural Gas Demand [W]</t>
  </si>
  <si>
    <t>LEED Summary Pumps Additional Energy Use [GJ]</t>
  </si>
  <si>
    <t>LEED Summary Pumps Additional Demand [W]</t>
  </si>
  <si>
    <t>LEED Summary Heat Rejection Electric Energy Use [GJ]</t>
  </si>
  <si>
    <t>LEED Summary Heat Rejection Electric Demand [W]</t>
  </si>
  <si>
    <t>LEED Summary Heat Rejection Natural Gas Energy Use [GJ]</t>
  </si>
  <si>
    <t>LEED Summary Heat Rejection Natural Gas Demand [W]</t>
  </si>
  <si>
    <t>LEED Summary Heat Rejection Additional Energy Use [GJ]</t>
  </si>
  <si>
    <t>LEED Summary Heat Rejection Additional Demand [W]</t>
  </si>
  <si>
    <t>LEED Summary Fans-Interior Electric Energy Use [GJ]</t>
  </si>
  <si>
    <t>LEED Summary Fans-Interior Electric Demand [W]</t>
  </si>
  <si>
    <t>LEED Summary Fans-Interior Natural Gas Energy Use [GJ]</t>
  </si>
  <si>
    <t>LEED Summary Fans-Interior Natural Gas Demand [W]</t>
  </si>
  <si>
    <t>LEED Summary Fans-Interior Additional Energy Use [GJ]</t>
  </si>
  <si>
    <t>LEED Summary Fans-Interior Additional Demand [W]</t>
  </si>
  <si>
    <t>LEED Summary Fans-Parking Garage Electric Energy Use [GJ]</t>
  </si>
  <si>
    <t>LEED Summary Fans-Parking Garage Electric Demand [W]</t>
  </si>
  <si>
    <t>LEED Summary Fans-Parking Garage Natural Gas Energy Use [GJ]</t>
  </si>
  <si>
    <t>LEED Summary Fans-Parking Garage Natural Gas Demand [W]</t>
  </si>
  <si>
    <t>LEED Summary Fans-Parking Garage Additional Energy Use [GJ]</t>
  </si>
  <si>
    <t>LEED Summary Fans-Parking Garage Additional Demand [W]</t>
  </si>
  <si>
    <t>LEED Summary Service Water Heating Electric Energy Use [GJ]</t>
  </si>
  <si>
    <t>LEED Summary Service Water Heating Electric Demand [W]</t>
  </si>
  <si>
    <t>LEED Summary Service Water Heating Natural Gas Energy Use [GJ]</t>
  </si>
  <si>
    <t>LEED Summary Service Water Heating Natural Gas Demand [W]</t>
  </si>
  <si>
    <t>LEED Summary Service Water Heating Additional Energy Use [GJ]</t>
  </si>
  <si>
    <t>LEED Summary Service Water Heating Additional Demand [W]</t>
  </si>
  <si>
    <t>LEED Summary Receptacle Equipment Electric Energy Use [GJ]</t>
  </si>
  <si>
    <t>LEED Summary Receptacle Equipment Electric Demand [W]</t>
  </si>
  <si>
    <t>LEED Summary Receptacle Equipment Natural Gas Energy Use [GJ]</t>
  </si>
  <si>
    <t>LEED Summary Receptacle Equipment Natural Gas Demand [W]</t>
  </si>
  <si>
    <t>LEED Summary Receptacle Equipment Additional Energy Use [GJ]</t>
  </si>
  <si>
    <t>LEED Summary Receptacle Equipment Additional Demand [W]</t>
  </si>
  <si>
    <t>LEED Summary Interior Lighting (process) Electric Energy Use [GJ]</t>
  </si>
  <si>
    <t>LEED Summary Interior Lighting (process) Electric Demand [W]</t>
  </si>
  <si>
    <t>LEED Summary Interior Lighting (process) Natural Gas Energy Use [GJ]</t>
  </si>
  <si>
    <t>LEED Summary Interior Lighting (process) Natural Gas Demand [W]</t>
  </si>
  <si>
    <t>LEED Summary Interior Lighting (process) Additional Energy Use [GJ]</t>
  </si>
  <si>
    <t>LEED Summary Interior Lighting (process) Additional Demand [W]</t>
  </si>
  <si>
    <t>LEED Summary Refrigeration Equipment Electric Energy Use [GJ]</t>
  </si>
  <si>
    <t>LEED Summary Refrigeration Equipment Electric Demand [W]</t>
  </si>
  <si>
    <t>LEED Summary Refrigeration Equipment Natural Gas Energy Use [GJ]</t>
  </si>
  <si>
    <t>LEED Summary Refrigeration Equipment Natural Gas Demand [W]</t>
  </si>
  <si>
    <t>LEED Summary Refrigeration Equipment Additional Energy Use [GJ]</t>
  </si>
  <si>
    <t>LEED Summary Refrigeration Equipment Additional Demand [W]</t>
  </si>
  <si>
    <t>LEED Summary Cooking Electric Energy Use [GJ]</t>
  </si>
  <si>
    <t>LEED Summary Cooking Electric Demand [W]</t>
  </si>
  <si>
    <t>LEED Summary Cooking Natural Gas Energy Use [GJ]</t>
  </si>
  <si>
    <t>LEED Summary Cooking Natural Gas Demand [W]</t>
  </si>
  <si>
    <t>LEED Summary Cooking Additional Energy Use [GJ]</t>
  </si>
  <si>
    <t>LEED Summary Cooking Additional Demand [W]</t>
  </si>
  <si>
    <t>LEED Summary Industrial Process Electric Energy Use [GJ]</t>
  </si>
  <si>
    <t>LEED Summary Industrial Process Electric Demand [W]</t>
  </si>
  <si>
    <t>LEED Summary Industrial Process Natural Gas Energy Use [GJ]</t>
  </si>
  <si>
    <t>LEED Summary Industrial Process Natural Gas Demand [W]</t>
  </si>
  <si>
    <t>LEED Summary Industrial Process Additional Energy Use [GJ]</t>
  </si>
  <si>
    <t>LEED Summary Industrial Process Additional Demand [W]</t>
  </si>
  <si>
    <t>LEED Summary Elevators and Escalators Electric Energy Use [GJ]</t>
  </si>
  <si>
    <t>LEED Summary Elevators and Escalators Electric Demand [W]</t>
  </si>
  <si>
    <t>LEED Summary Elevators and Escalators Natural Gas Energy Use [GJ]</t>
  </si>
  <si>
    <t>LEED Summary Elevators and Escalators Natural Gas Demand [W]</t>
  </si>
  <si>
    <t>LEED Summary Elevators and Escalators Additional Energy Use [GJ]</t>
  </si>
  <si>
    <t>LEED Summary Elevators and Escalators Additional Demand [W]</t>
  </si>
  <si>
    <t>LEED Summary Total Line Electric Energy Use [GJ]</t>
  </si>
  <si>
    <t>LEED Summary Total Line Electric Demand [W]</t>
  </si>
  <si>
    <t>LEED Summary Total Line Natural Gas Energy Use [GJ]</t>
  </si>
  <si>
    <t>LEED Summary Total Line Natural Gas Demand [W]</t>
  </si>
  <si>
    <t>LEED Summary Total Line Additional Energy Use [GJ]</t>
  </si>
  <si>
    <t>LEED Summary Total Line Additional Demand [W]</t>
  </si>
  <si>
    <t>Annual Building Utility Performance Summary Total Site Energy Total Energy [kWh]</t>
  </si>
  <si>
    <t>Annual Building Utility Performance Summary Total Site Energy Energy Per Total Building Area [kWh/m2]</t>
  </si>
  <si>
    <t>Annual Building Utility Performance Summary Total Site Energy Energy Per Conditioned Building Area [kWh/m2]</t>
  </si>
  <si>
    <t>Annual Building Utility Performance Summary Net Site Energy Total Energy [kWh]</t>
  </si>
  <si>
    <t>Annual Building Utility Performance Summary Net Site Energy Energy Per Total Building Area [kWh/m2]</t>
  </si>
  <si>
    <t>Annual Building Utility Performance Summary Net Site Energy Energy Per Conditioned Building Area [kWh/m2]</t>
  </si>
  <si>
    <t>Annual Building Utility Performance Summary Total Source Energy Total Energy [kWh]</t>
  </si>
  <si>
    <t>Annual Building Utility Performance Summary Total Source Energy Energy Per Total Building Area [kWh/m2]</t>
  </si>
  <si>
    <t>Annual Building Utility Performance Summary Total Source Energy Energy Per Conditioned Building Area [kWh/m2]</t>
  </si>
  <si>
    <t>Annual Building Utility Performance Summary Net Source Energy Total Energy [kWh]</t>
  </si>
  <si>
    <t>Annual Building Utility Performance Summary Net Source Energy Energy Per Total Building Area [kWh/m2]</t>
  </si>
  <si>
    <t>Annual Building Utility Performance Summary Net Source Energy Energy Per Conditioned Building Area [kWh/m2]</t>
  </si>
  <si>
    <t>Annual Building Utility Performance Summary Total Building Area Area [m2]</t>
  </si>
  <si>
    <t>Annual Building Utility Performance Summary Net Conditioned Building Area Area [m2]</t>
  </si>
  <si>
    <t>Annual Building Utility Performance Summary Unconditioned Building Area Area [m2]</t>
  </si>
  <si>
    <t>Annual Building Utility Performance Summary Heating Electricity [kWh]</t>
  </si>
  <si>
    <t>Annual Building Utility Performance Summary Heating Natural Gas [kWh]</t>
  </si>
  <si>
    <t>Annual Building Utility Performance Summary Heating Additional Fuel [kWh]</t>
  </si>
  <si>
    <t>Annual Building Utility Performance Summary Heating District Cooling [kWh]</t>
  </si>
  <si>
    <t>Annual Building Utility Performance Summary Heating District Heating [kWh]</t>
  </si>
  <si>
    <t>Annual Building Utility Performance Summary Heating Water [m3]</t>
  </si>
  <si>
    <t>Annual Building Utility Performance Summary Cooling Electricity [kWh]</t>
  </si>
  <si>
    <t>Annual Building Utility Performance Summary Cooling Natural Gas [kWh]</t>
  </si>
  <si>
    <t>Annual Building Utility Performance Summary Cooling Additional Fuel [kWh]</t>
  </si>
  <si>
    <t>Annual Building Utility Performance Summary Cooling District Cooling [kWh]</t>
  </si>
  <si>
    <t>Annual Building Utility Performance Summary Cooling District Heating [kWh]</t>
  </si>
  <si>
    <t>Annual Building Utility Performance Summary Cooling Water [m3]</t>
  </si>
  <si>
    <t>Annual Building Utility Performance Summary Interior Lighting Electricity [kWh]</t>
  </si>
  <si>
    <t>Annual Building Utility Performance Summary Interior Lighting Natural Gas [kWh]</t>
  </si>
  <si>
    <t>Annual Building Utility Performance Summary Interior Lighting Additional Fuel [kWh]</t>
  </si>
  <si>
    <t>Annual Building Utility Performance Summary Interior Lighting District Cooling [kWh]</t>
  </si>
  <si>
    <t>Annual Building Utility Performance Summary Interior Lighting District Heating [kWh]</t>
  </si>
  <si>
    <t>Annual Building Utility Performance Summary Interior Lighting Water [m3]</t>
  </si>
  <si>
    <t>Annual Building Utility Performance Summary Exterior Lighting Electricity [kWh]</t>
  </si>
  <si>
    <t>Annual Building Utility Performance Summary Exterior Lighting Natural Gas [kWh]</t>
  </si>
  <si>
    <t>Annual Building Utility Performance Summary Exterior Lighting Additional Fuel [kWh]</t>
  </si>
  <si>
    <t>Annual Building Utility Performance Summary Exterior Lighting District Cooling [kWh]</t>
  </si>
  <si>
    <t>Annual Building Utility Performance Summary Exterior Lighting District Heating [kWh]</t>
  </si>
  <si>
    <t>Annual Building Utility Performance Summary Exterior Lighting Water [m3]</t>
  </si>
  <si>
    <t>Annual Building Utility Performance Summary Interior Equipment Electricity [kWh]</t>
  </si>
  <si>
    <t>Annual Building Utility Performance Summary Interior Equipment Natural Gas [kWh]</t>
  </si>
  <si>
    <t>Annual Building Utility Performance Summary Interior Equipment Additional Fuel [kWh]</t>
  </si>
  <si>
    <t>Annual Building Utility Performance Summary Interior Equipment District Cooling [kWh]</t>
  </si>
  <si>
    <t>Annual Building Utility Performance Summary Interior Equipment District Heating [kWh]</t>
  </si>
  <si>
    <t>Annual Building Utility Performance Summary Interior Equipment Water [m3]</t>
  </si>
  <si>
    <t>Annual Building Utility Performance Summary Exterior Equipment Electricity [kWh]</t>
  </si>
  <si>
    <t>Annual Building Utility Performance Summary Exterior Equipment Natural Gas [kWh]</t>
  </si>
  <si>
    <t>Annual Building Utility Performance Summary Exterior Equipment Additional Fuel [kWh]</t>
  </si>
  <si>
    <t>Annual Building Utility Performance Summary Exterior Equipment District Cooling [kWh]</t>
  </si>
  <si>
    <t>Annual Building Utility Performance Summary Exterior Equipment District Heating [kWh]</t>
  </si>
  <si>
    <t>Annual Building Utility Performance Summary Exterior Equipment Water [m3]</t>
  </si>
  <si>
    <t>Annual Building Utility Performance Summary Fans Electricity [kWh]</t>
  </si>
  <si>
    <t>Annual Building Utility Performance Summary Fans Natural Gas [kWh]</t>
  </si>
  <si>
    <t>Annual Building Utility Performance Summary Fans Additional Fuel [kWh]</t>
  </si>
  <si>
    <t>Annual Building Utility Performance Summary Fans District Cooling [kWh]</t>
  </si>
  <si>
    <t>Annual Building Utility Performance Summary Fans District Heating [kWh]</t>
  </si>
  <si>
    <t>Annual Building Utility Performance Summary Fans Water [m3]</t>
  </si>
  <si>
    <t>Annual Building Utility Performance Summary Pumps Electricity [kWh]</t>
  </si>
  <si>
    <t>Annual Building Utility Performance Summary Pumps Natural Gas [kWh]</t>
  </si>
  <si>
    <t>Annual Building Utility Performance Summary Pumps Additional Fuel [kWh]</t>
  </si>
  <si>
    <t>Annual Building Utility Performance Summary Pumps District Cooling [kWh]</t>
  </si>
  <si>
    <t>Annual Building Utility Performance Summary Pumps District Heating [kWh]</t>
  </si>
  <si>
    <t>Annual Building Utility Performance Summary Pumps Water [m3]</t>
  </si>
  <si>
    <t>Annual Building Utility Performance Summary Heat Rejection Electricity [kWh]</t>
  </si>
  <si>
    <t>Annual Building Utility Performance Summary Heat Rejection Natural Gas [kWh]</t>
  </si>
  <si>
    <t>Annual Building Utility Performance Summary Heat Rejection Additional Fuel [kWh]</t>
  </si>
  <si>
    <t>Annual Building Utility Performance Summary Heat Rejection District Cooling [kWh]</t>
  </si>
  <si>
    <t>Annual Building Utility Performance Summary Heat Rejection District Heating [kWh]</t>
  </si>
  <si>
    <t>Annual Building Utility Performance Summary Heat Rejection Water [m3]</t>
  </si>
  <si>
    <t>Annual Building Utility Performance Summary Humidification Electricity [kWh]</t>
  </si>
  <si>
    <t>Annual Building Utility Performance Summary Humidification Natural Gas [kWh]</t>
  </si>
  <si>
    <t>Annual Building Utility Performance Summary Humidification Additional Fuel [kWh]</t>
  </si>
  <si>
    <t>Annual Building Utility Performance Summary Humidification District Cooling [kWh]</t>
  </si>
  <si>
    <t>Annual Building Utility Performance Summary Humidification District Heating [kWh]</t>
  </si>
  <si>
    <t>Annual Building Utility Performance Summary Humidification Water [m3]</t>
  </si>
  <si>
    <t>Annual Building Utility Performance Summary Heat Recovery Electricity [kWh]</t>
  </si>
  <si>
    <t>Annual Building Utility Performance Summary Heat Recovery Natural Gas [kWh]</t>
  </si>
  <si>
    <t>Annual Building Utility Performance Summary Heat Recovery Additional Fuel [kWh]</t>
  </si>
  <si>
    <t>Annual Building Utility Performance Summary Heat Recovery District Cooling [kWh]</t>
  </si>
  <si>
    <t>Annual Building Utility Performance Summary Heat Recovery District Heating [kWh]</t>
  </si>
  <si>
    <t>Annual Building Utility Performance Summary Heat Recovery Water [m3]</t>
  </si>
  <si>
    <t>Annual Building Utility Performance Summary Water Systems Electricity [kWh]</t>
  </si>
  <si>
    <t>Annual Building Utility Performance Summary Water Systems Natural Gas [kWh]</t>
  </si>
  <si>
    <t>Annual Building Utility Performance Summary Water Systems Additional Fuel [kWh]</t>
  </si>
  <si>
    <t>Annual Building Utility Performance Summary Water Systems District Cooling [kWh]</t>
  </si>
  <si>
    <t>Annual Building Utility Performance Summary Water Systems District Heating [kWh]</t>
  </si>
  <si>
    <t>Annual Building Utility Performance Summary Water Systems Water [m3]</t>
  </si>
  <si>
    <t>Annual Building Utility Performance Summary Refrigeration Electricity [kWh]</t>
  </si>
  <si>
    <t>Annual Building Utility Performance Summary Refrigeration Natural Gas [kWh]</t>
  </si>
  <si>
    <t>Annual Building Utility Performance Summary Refrigeration Additional Fuel [kWh]</t>
  </si>
  <si>
    <t>Annual Building Utility Performance Summary Refrigeration District Cooling [kWh]</t>
  </si>
  <si>
    <t>Annual Building Utility Performance Summary Refrigeration District Heating [kWh]</t>
  </si>
  <si>
    <t>Annual Building Utility Performance Summary Refrigeration Water [m3]</t>
  </si>
  <si>
    <t>Annual Building Utility Performance Summary Generators Electricity [kWh]</t>
  </si>
  <si>
    <t>Annual Building Utility Performance Summary Generators Natural Gas [kWh]</t>
  </si>
  <si>
    <t>Annual Building Utility Performance Summary Generators Additional Fuel [kWh]</t>
  </si>
  <si>
    <t>Annual Building Utility Performance Summary Generators District Cooling [kWh]</t>
  </si>
  <si>
    <t>Annual Building Utility Performance Summary Generators District Heating [kWh]</t>
  </si>
  <si>
    <t>Annual Building Utility Performance Summary Generators Water [m3]</t>
  </si>
  <si>
    <t>Annual Building Utility Performance Summary  Electricity [kWh]</t>
  </si>
  <si>
    <t>Annual Building Utility Performance Summary  Natural Gas [kWh]</t>
  </si>
  <si>
    <t>Annual Building Utility Performance Summary  Additional Fuel [kWh]</t>
  </si>
  <si>
    <t>Annual Building Utility Performance Summary  District Cooling [kWh]</t>
  </si>
  <si>
    <t>Annual Building Utility Performance Summary  District Heating [kWh]</t>
  </si>
  <si>
    <t>Annual Building Utility Performance Summary  Water [m3]</t>
  </si>
  <si>
    <t>Annual Building Utility Performance Summary Total End Uses Electricity [kWh]</t>
  </si>
  <si>
    <t>Annual Building Utility Performance Summary Total End Uses Natural Gas [kWh]</t>
  </si>
  <si>
    <t>Annual Building Utility Performance Summary Total End Uses Additional Fuel [kWh]</t>
  </si>
  <si>
    <t>Annual Building Utility Performance Summary Total End Uses District Cooling [kWh]</t>
  </si>
  <si>
    <t>Annual Building Utility Performance Summary Total End Uses District Heating [kWh]</t>
  </si>
  <si>
    <t>Annual Building Utility Performance Summary Total End Uses Water [m3]</t>
  </si>
  <si>
    <t>Annual Building Utility Performance Summary Time Setpoint Not Met During Occupied Heating Facility [Hours]</t>
  </si>
  <si>
    <t>Annual Building Utility Performance Summary Time Setpoint Not Met During Occupied Cooling Facility [Hours]</t>
  </si>
  <si>
    <t>Annual Building Utility Performance Summary Time Not Comfortable Based on Simple ASHRAE 55-2004 Facility [Hours]</t>
  </si>
  <si>
    <t>Input Verification and Results Summary Gross Wall Area [m2] Total</t>
  </si>
  <si>
    <t>Input Verification and Results Summary Gross Wall Area [m2] North (315 to 45 deg)</t>
  </si>
  <si>
    <t>Input Verification and Results Summary Gross Wall Area [m2] East (45 to 135 deg)</t>
  </si>
  <si>
    <t>Input Verification and Results Summary Gross Wall Area [m2] South (135 to 225 deg)</t>
  </si>
  <si>
    <t>Input Verification and Results Summary Gross Wall Area [m2] West (225 to 315 deg)</t>
  </si>
  <si>
    <t>Input Verification and Results Summary Above Ground Wall Area [m2] Total</t>
  </si>
  <si>
    <t>Above Ground Wall Area [m2]</t>
  </si>
  <si>
    <t>Input Verification and Results Summary Above Ground Wall Area [m2] North (315 to 45 deg)</t>
  </si>
  <si>
    <t>Input Verification and Results Summary Above Ground Wall Area [m2] East (45 to 135 deg)</t>
  </si>
  <si>
    <t>Input Verification and Results Summary Above Ground Wall Area [m2] South (135 to 225 deg)</t>
  </si>
  <si>
    <t>Input Verification and Results Summary Above Ground Wall Area [m2] West (225 to 315 deg)</t>
  </si>
  <si>
    <t>Input Verification and Results Summary Window Opening Area [m2] Total</t>
  </si>
  <si>
    <t>Input Verification and Results Summary Window Opening Area [m2] North (315 to 45 deg)</t>
  </si>
  <si>
    <t>Input Verification and Results Summary Window Opening Area [m2] East (45 to 135 deg)</t>
  </si>
  <si>
    <t>Input Verification and Results Summary Window Opening Area [m2] South (135 to 225 deg)</t>
  </si>
  <si>
    <t>Input Verification and Results Summary Window Opening Area [m2] West (225 to 315 deg)</t>
  </si>
  <si>
    <t>Input Verification and Results Summary Gross Window-Wall Ratio [%] Total</t>
  </si>
  <si>
    <t>Gross Window-Wall Ratio [%]</t>
  </si>
  <si>
    <t>Input Verification and Results Summary Gross Window-Wall Ratio [%] North (315 to 45 deg)</t>
  </si>
  <si>
    <t>Input Verification and Results Summary Gross Window-Wall Ratio [%] East (45 to 135 deg)</t>
  </si>
  <si>
    <t>Input Verification and Results Summary Gross Window-Wall Ratio [%] South (135 to 225 deg)</t>
  </si>
  <si>
    <t>Input Verification and Results Summary Gross Window-Wall Ratio [%] West (225 to 315 deg)</t>
  </si>
  <si>
    <t>Input Verification and Results Summary Above Ground Window-Wall Ratio [%] Total</t>
  </si>
  <si>
    <t>Above Ground Window-Wall Ratio [%]</t>
  </si>
  <si>
    <t>Input Verification and Results Summary Above Ground Window-Wall Ratio [%] North (315 to 45 deg)</t>
  </si>
  <si>
    <t>Input Verification and Results Summary Above Ground Window-Wall Ratio [%] East (45 to 135 deg)</t>
  </si>
  <si>
    <t>Input Verification and Results Summary Above Ground Window-Wall Ratio [%] South (135 to 225 deg)</t>
  </si>
  <si>
    <t>Input Verification and Results Summary Above Ground Window-Wall Ratio [%] West (225 to 315 deg)</t>
  </si>
  <si>
    <t>Item Envelope Average External U</t>
  </si>
  <si>
    <t>Item Envelope Average Window U</t>
  </si>
  <si>
    <t>Zone Summary Total Area m2</t>
  </si>
  <si>
    <t>Zone Summary Conditioned Area m2</t>
  </si>
  <si>
    <t>Zone Summary Unconditioned Area m2</t>
  </si>
  <si>
    <t>Zone Summary Avg Lighting LPD W/m2</t>
  </si>
  <si>
    <t>Zone Summary Avg Occupancy Density m2/Pers</t>
  </si>
  <si>
    <t>Zone Summary Avg Plug load W/m2 [-]</t>
  </si>
  <si>
    <t>Test MATCH</t>
  </si>
  <si>
    <t>Returns column number of matched text</t>
  </si>
  <si>
    <t>Header text</t>
  </si>
  <si>
    <t>Row text</t>
  </si>
  <si>
    <t>Cooling kWh/m2</t>
  </si>
  <si>
    <t>Ventilation kWh/m2</t>
  </si>
  <si>
    <t>DHW kWh/m2</t>
  </si>
  <si>
    <t>Lighting kWh/m2</t>
  </si>
  <si>
    <t>Item Lighting Average LPD [W/m2]</t>
  </si>
  <si>
    <t>Average LPD [W/m2]</t>
  </si>
  <si>
    <t>Zone Summary Volume [m3]</t>
  </si>
  <si>
    <t>Volume</t>
  </si>
  <si>
    <t>[m3]</t>
  </si>
  <si>
    <t>Zone Summary Gross Wall Area [m2]</t>
  </si>
  <si>
    <t>Gross Wall Area</t>
  </si>
  <si>
    <t>[m2]</t>
  </si>
  <si>
    <t>Zone Summary Window Glass Area [m2]</t>
  </si>
  <si>
    <t>Window Glass Area</t>
  </si>
  <si>
    <t>Rate</t>
  </si>
  <si>
    <t>elec</t>
  </si>
  <si>
    <t>gas</t>
  </si>
  <si>
    <t>other</t>
  </si>
  <si>
    <t>Exterior equipment</t>
  </si>
  <si>
    <t>Calculated Fuel totals</t>
  </si>
  <si>
    <t>Gas</t>
  </si>
  <si>
    <t>Savings</t>
  </si>
  <si>
    <t>Cost</t>
  </si>
  <si>
    <t>kUSD</t>
  </si>
  <si>
    <t>BL kUSD</t>
  </si>
  <si>
    <t>AD kUSD</t>
  </si>
  <si>
    <t>Sensible summary HVAC Input Sensible Air Heating [GJ] [GJ]</t>
  </si>
  <si>
    <t>Sensible summary</t>
  </si>
  <si>
    <t>HVAC Input Sensible Air Heating [GJ]</t>
  </si>
  <si>
    <t>**[MWh]</t>
  </si>
  <si>
    <t>Sensible summary HVAC Input Sensible Air Cooling [GJ] [GJ]</t>
  </si>
  <si>
    <t>HVAC Input Sensible Air Cooling [GJ]</t>
  </si>
  <si>
    <t>Sensible summary HVAC Input Heated Surface Heating [GJ] [GJ]</t>
  </si>
  <si>
    <t>HVAC Input Heated Surface Heating [GJ]</t>
  </si>
  <si>
    <t>Sensible summary HVAC Input Cooled Surface Cooling [GJ] [GJ]</t>
  </si>
  <si>
    <t>HVAC Input Cooled Surface Cooling [GJ]</t>
  </si>
  <si>
    <t>Sensible summary People Sensible Heat Addition [GJ] [GJ]</t>
  </si>
  <si>
    <t>People Sensible Heat Addition [GJ]</t>
  </si>
  <si>
    <t>Sensible summary Lights Sensible Heat Addition [GJ] [GJ]</t>
  </si>
  <si>
    <t>Lights Sensible Heat Addition [GJ]</t>
  </si>
  <si>
    <t>Sensible summary Equipment Sensible Heat Addition [GJ] [GJ]</t>
  </si>
  <si>
    <t>Equipment Sensible Heat Addition [GJ]</t>
  </si>
  <si>
    <t>Sensible summary Window Heat Addition [GJ] [GJ]</t>
  </si>
  <si>
    <t>Window Heat Addition [GJ]</t>
  </si>
  <si>
    <t>Sensible summary Interzone Air Transfer Heat Addition [GJ] [GJ]</t>
  </si>
  <si>
    <t>Interzone Air Transfer Heat Addition [GJ]</t>
  </si>
  <si>
    <t>Sensible summary Infiltration Heat Addition [GJ] [GJ]</t>
  </si>
  <si>
    <t>Infiltration Heat Addition [GJ]</t>
  </si>
  <si>
    <t>Sensible summary Opaque Surface Conduction and Other Heat Addition [GJ] [GJ]</t>
  </si>
  <si>
    <t>Opaque Surface Conduction and Other Heat Addition [GJ]</t>
  </si>
  <si>
    <t>Sensible summary Equipment Sensible Heat Removal [GJ] [GJ]</t>
  </si>
  <si>
    <t>Equipment Sensible Heat Removal [GJ]</t>
  </si>
  <si>
    <t>Sensible summary Window Heat Removal [GJ] [GJ]</t>
  </si>
  <si>
    <t>Window Heat Removal [GJ]</t>
  </si>
  <si>
    <t>Sensible summary Interzone Air Transfer Heat Removal [GJ] [GJ]</t>
  </si>
  <si>
    <t>Interzone Air Transfer Heat Removal [GJ]</t>
  </si>
  <si>
    <t>Sensible summary Infiltration Heat Removal [GJ] [GJ]</t>
  </si>
  <si>
    <t>Infiltration Heat Removal [GJ]</t>
  </si>
  <si>
    <t>Sensible summary Opaque Surface Conduction and Other Heat Removal [GJ] [GJ]</t>
  </si>
  <si>
    <t>Opaque Surface Conduction and Other Heat Removal [GJ]</t>
  </si>
  <si>
    <t>Air heating</t>
  </si>
  <si>
    <t>Air cooling</t>
  </si>
  <si>
    <t>Surface heating</t>
  </si>
  <si>
    <t>Surface cooling</t>
  </si>
  <si>
    <t>People</t>
  </si>
  <si>
    <t>Lights</t>
  </si>
  <si>
    <t>Equipment</t>
  </si>
  <si>
    <t>Window heat</t>
  </si>
  <si>
    <t>Interzone heat</t>
  </si>
  <si>
    <t>Infiltration heat</t>
  </si>
  <si>
    <t>Surface condution heat</t>
  </si>
  <si>
    <t>Equipment cooling</t>
  </si>
  <si>
    <t>Window cooling</t>
  </si>
  <si>
    <t>Interzone cooling</t>
  </si>
  <si>
    <t>Infiltration cooling</t>
  </si>
  <si>
    <t>Item Outdoor Air Summary Average outdoor air occupied [m3/s]</t>
  </si>
  <si>
    <t>Average outdoor air occupied [m3/s]</t>
  </si>
  <si>
    <t>Item Outdoor Air Summary Minimum outdoor air occupied [m3/s]</t>
  </si>
  <si>
    <t>Minimum outdoor air occupied [m3/s]</t>
  </si>
  <si>
    <t>Average specifig fresh air [L/s per m2]</t>
  </si>
  <si>
    <t>(Benchmark)</t>
  </si>
  <si>
    <t>EnergyPlus-Windows-64 8.1.0.008, YMD=2013.12.11 17:50</t>
  </si>
  <si>
    <t>CENTRAL ADMIN</t>
  </si>
  <si>
    <t>Item Envelope Summary Average glass U-Factor [W/m2-K]</t>
  </si>
  <si>
    <t>Envelope Summary</t>
  </si>
  <si>
    <t>Average glass U-Factor [W/m2-K]</t>
  </si>
  <si>
    <t>Item Envelope Summary Average glass SHGC</t>
  </si>
  <si>
    <t>Average glass SHGC</t>
  </si>
  <si>
    <t>Item Envelope Summary Average glass visible transmittance</t>
  </si>
  <si>
    <t>Average glass visible transmittance</t>
  </si>
  <si>
    <t>Item HVAC Sizing Summary Total Calculated Design Cooling Load [W]</t>
  </si>
  <si>
    <t>HVAC Sizing Summary</t>
  </si>
  <si>
    <t>Total Calculated Design Cooling Load [W]</t>
  </si>
  <si>
    <t>Item HVAC Sizing Summary Total User Design Cooling Load [W]</t>
  </si>
  <si>
    <t>Total User Design Cooling Load [W]</t>
  </si>
  <si>
    <t>Item HVAC Sizing Summary Total Calculated Design Cooling Air Flow [m3/s]</t>
  </si>
  <si>
    <t>Total Calculated Design Cooling Air Flow [m3/s]</t>
  </si>
  <si>
    <t>Item HVAC Sizing Summary Total User Design Cooling Air Flow [m3/s]</t>
  </si>
  <si>
    <t>Total User Design Cooling Air Flow [m3/s]</t>
  </si>
  <si>
    <t>Item HVAC Sizing Summary Total Calculated Design Heating Load [W]</t>
  </si>
  <si>
    <t>Total Calculated Design Heating Load [W]</t>
  </si>
  <si>
    <t>Item HVAC Sizing Summary Total User Design Heating Load [W]</t>
  </si>
  <si>
    <t>Total User Design Heating Load [W]</t>
  </si>
  <si>
    <t>Item HVAC Sizing Summary Total Calculated Design Heating Air Flow [m3/s]</t>
  </si>
  <si>
    <t>Total Calculated Design Heating Air Flow [m3/s]</t>
  </si>
  <si>
    <t>Item HVAC Sizing Summary Total User Design Heating Air Flow [m3/s]</t>
  </si>
  <si>
    <t>Total User Design Heating Air Flow [m3/s]</t>
  </si>
  <si>
    <t>Baseline AVG</t>
  </si>
  <si>
    <t>Average Wall U</t>
  </si>
  <si>
    <t>Total zone area</t>
  </si>
  <si>
    <t>Total cond area</t>
  </si>
  <si>
    <t>Total uncon area</t>
  </si>
  <si>
    <t>Avg lighting</t>
  </si>
  <si>
    <t>w/m2</t>
  </si>
  <si>
    <t>Occ dens</t>
  </si>
  <si>
    <t>m2/pers</t>
  </si>
  <si>
    <t>Glass SHGC</t>
  </si>
  <si>
    <t>Glass U</t>
  </si>
  <si>
    <t>Glass vis. Trans</t>
  </si>
  <si>
    <t>Building envelope</t>
  </si>
  <si>
    <t>Areas</t>
  </si>
  <si>
    <t>Loads</t>
  </si>
  <si>
    <t>Plug loads</t>
  </si>
  <si>
    <t>[L/s per m2]</t>
  </si>
  <si>
    <t>Fresh air</t>
  </si>
  <si>
    <t>Avg occ</t>
  </si>
  <si>
    <t>Min occ</t>
  </si>
  <si>
    <t>m3/s</t>
  </si>
  <si>
    <t>Zone sizing</t>
  </si>
  <si>
    <t>Total user cooling</t>
  </si>
  <si>
    <t>Total design cooling</t>
  </si>
  <si>
    <t>Sizing</t>
  </si>
  <si>
    <t>Total design heating</t>
  </si>
  <si>
    <t>Total user heating</t>
  </si>
  <si>
    <t>Setpoints</t>
  </si>
  <si>
    <t>Not met heating</t>
  </si>
  <si>
    <t>Not met cooling</t>
  </si>
  <si>
    <t>WWR</t>
  </si>
  <si>
    <t>Min fresh air per area</t>
  </si>
  <si>
    <t>Average fresh air  per area</t>
  </si>
  <si>
    <t>Avg fresh air per pers</t>
  </si>
  <si>
    <t>Min fresh air per pers</t>
  </si>
  <si>
    <t>Average fresh per person</t>
  </si>
  <si>
    <t>Min fresh per pers</t>
  </si>
  <si>
    <t>[L/s per pers]</t>
  </si>
  <si>
    <t>OBSELETE</t>
  </si>
  <si>
    <t>Specific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</si>
</sst>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double">
        <color rgb="FFFF0000"/>
      </top>
      <bottom/>
      <diagonal/>
    </border>
    <border>
      <left/>
      <right/>
      <top/>
      <bottom style="thin">
        <color theme="1"/>
      </bottom>
      <diagonal/>
    </border>
  </borders>
  <cellStyleXfs count="8">
    <xf numFmtId="0" fontId="0" fillId="0" borderId="0"/>
    <xf numFmtId="0" fontId="1" fillId="2" borderId="1"/>
    <xf numFmtId="0" fontId="3" fillId="0" borderId="0"/>
    <xf numFmtId="0" fontId="2" fillId="0" borderId="1"/>
    <xf numFmtId="0" fontId="5" fillId="0" borderId="2"/>
    <xf numFmtId="0" fontId="4" fillId="0" borderId="0"/>
    <xf numFmtId="9" fontId="6" fillId="0" borderId="0" applyFont="0" applyFill="0" applyBorder="0" applyAlignment="0" applyProtection="0"/>
    <xf numFmtId="0" fontId="6" fillId="0" borderId="3" applyNumberFormat="0" applyFont="0" applyFill="0" applyAlignment="0" applyProtection="0"/>
  </cellStyleXfs>
  <cellXfs count="58">
    <xf numFmtId="0" fontId="0" fillId="0" borderId="0" xfId="0"/>
    <xf numFmtId="0" fontId="1" fillId="2" borderId="1" xfId="1"/>
    <xf numFmtId="2" fontId="0" fillId="0" borderId="0" xfId="0" applyNumberFormat="1"/>
    <xf numFmtId="1" fontId="0" fillId="0" borderId="0" xfId="0" applyNumberFormat="1"/>
    <xf numFmtId="1" fontId="1" fillId="2" borderId="1" xfId="1" applyNumberFormat="1"/>
    <xf numFmtId="0" fontId="0" fillId="0" borderId="3" xfId="7" applyFont="1"/>
    <xf numFmtId="1" fontId="0" fillId="0" borderId="3" xfId="7" applyNumberFormat="1" applyFont="1"/>
    <xf numFmtId="2" fontId="0" fillId="0" borderId="3" xfId="7" applyNumberFormat="1" applyFont="1"/>
    <xf numFmtId="9" fontId="0" fillId="0" borderId="3" xfId="6" applyFont="1" applyBorder="1"/>
    <xf numFmtId="9" fontId="0" fillId="0" borderId="0" xfId="6" applyFont="1"/>
    <xf numFmtId="9" fontId="1" fillId="2" borderId="1" xfId="6" applyFont="1" applyFill="1" applyBorder="1"/>
    <xf numFmtId="9" fontId="0" fillId="0" borderId="0" xfId="6" applyFont="1" applyBorder="1"/>
    <xf numFmtId="2" fontId="0" fillId="0" borderId="0" xfId="6" applyNumberFormat="1" applyFont="1"/>
    <xf numFmtId="9" fontId="0" fillId="0" borderId="3" xfId="7" applyNumberFormat="1" applyFont="1"/>
    <xf numFmtId="0" fontId="0" fillId="3" borderId="0" xfId="0" applyFont="1" applyFill="1"/>
    <xf numFmtId="0" fontId="0" fillId="0" borderId="0" xfId="0" applyFont="1"/>
    <xf numFmtId="164" fontId="0" fillId="0" borderId="3" xfId="7" applyNumberFormat="1" applyFont="1"/>
    <xf numFmtId="164" fontId="0" fillId="0" borderId="0" xfId="0" applyNumberFormat="1"/>
    <xf numFmtId="1" fontId="0" fillId="0" borderId="0" xfId="7" applyNumberFormat="1" applyFont="1" applyBorder="1"/>
    <xf numFmtId="2" fontId="0" fillId="0" borderId="0" xfId="0" applyNumberFormat="1" applyAlignment="1">
      <alignment horizontal="center" vertical="center"/>
    </xf>
    <xf numFmtId="2" fontId="0" fillId="0" borderId="0" xfId="6" applyNumberFormat="1" applyFont="1" applyBorder="1"/>
    <xf numFmtId="165" fontId="0" fillId="0" borderId="0" xfId="6" applyNumberFormat="1" applyFont="1"/>
    <xf numFmtId="1" fontId="1" fillId="2" borderId="1" xfId="6" applyNumberFormat="1" applyFont="1" applyFill="1" applyBorder="1"/>
    <xf numFmtId="1" fontId="0" fillId="0" borderId="0" xfId="6" applyNumberFormat="1" applyFont="1"/>
    <xf numFmtId="1" fontId="0" fillId="0" borderId="3" xfId="6" applyNumberFormat="1" applyFont="1" applyBorder="1"/>
    <xf numFmtId="1" fontId="0" fillId="0" borderId="0" xfId="6" applyNumberFormat="1" applyFont="1" applyBorder="1"/>
    <xf numFmtId="1" fontId="0" fillId="0" borderId="0" xfId="0" applyNumberFormat="1" applyAlignment="1">
      <alignment horizontal="center" vertical="center"/>
    </xf>
    <xf numFmtId="0" fontId="7" fillId="0" borderId="0" xfId="0" applyFont="1" applyBorder="1"/>
    <xf numFmtId="1" fontId="7" fillId="0" borderId="0" xfId="0" applyNumberFormat="1" applyFont="1" applyBorder="1"/>
    <xf numFmtId="9" fontId="7" fillId="0" borderId="0" xfId="6" applyFont="1" applyBorder="1"/>
    <xf numFmtId="1" fontId="7" fillId="0" borderId="0" xfId="6" applyNumberFormat="1" applyFont="1" applyBorder="1"/>
    <xf numFmtId="2" fontId="7" fillId="0" borderId="0" xfId="0" applyNumberFormat="1" applyFont="1" applyBorder="1"/>
    <xf numFmtId="10" fontId="7" fillId="0" borderId="0" xfId="6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9" fontId="2" fillId="0" borderId="0" xfId="6" applyFont="1" applyBorder="1"/>
    <xf numFmtId="1" fontId="2" fillId="0" borderId="0" xfId="6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" fontId="0" fillId="0" borderId="0" xfId="0" applyNumberFormat="1" applyFont="1" applyBorder="1"/>
    <xf numFmtId="2" fontId="0" fillId="0" borderId="0" xfId="0" applyNumberFormat="1" applyFont="1" applyBorder="1"/>
    <xf numFmtId="0" fontId="5" fillId="0" borderId="2" xfId="4"/>
    <xf numFmtId="2" fontId="5" fillId="0" borderId="2" xfId="4" applyNumberFormat="1"/>
    <xf numFmtId="1" fontId="5" fillId="0" borderId="2" xfId="4" applyNumberFormat="1"/>
    <xf numFmtId="0" fontId="0" fillId="0" borderId="4" xfId="0" applyFont="1" applyBorder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2" fillId="0" borderId="1" xfId="3"/>
    <xf numFmtId="0" fontId="2" fillId="0" borderId="1" xfId="3" applyAlignment="1">
      <alignment horizontal="right"/>
    </xf>
    <xf numFmtId="165" fontId="8" fillId="0" borderId="0" xfId="0" applyNumberFormat="1" applyFont="1"/>
    <xf numFmtId="165" fontId="2" fillId="0" borderId="0" xfId="0" applyNumberFormat="1" applyFont="1"/>
    <xf numFmtId="164" fontId="0" fillId="0" borderId="0" xfId="7" applyNumberFormat="1" applyFont="1" applyFill="1" applyBorder="1"/>
    <xf numFmtId="0" fontId="0" fillId="0" borderId="0" xfId="0" applyNumberFormat="1"/>
    <xf numFmtId="0" fontId="0" fillId="0" borderId="0" xfId="7" applyNumberFormat="1" applyFont="1" applyFill="1" applyBorder="1"/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right" vertical="center"/>
    </xf>
    <xf numFmtId="9" fontId="0" fillId="0" borderId="0" xfId="6" applyFont="1" applyAlignment="1">
      <alignment horizontal="center"/>
    </xf>
  </cellXfs>
  <cellStyles count="8">
    <cellStyle name="00 Head 1" xfId="3"/>
    <cellStyle name="00 Head Main" xfId="1"/>
    <cellStyle name="00 Lookup fade" xfId="5"/>
    <cellStyle name="00 Total" xfId="4"/>
    <cellStyle name="00Space" xfId="2"/>
    <cellStyle name="Normal" xfId="0" builtinId="0"/>
    <cellStyle name="Percent" xfId="6" builtinId="5"/>
    <cellStyle name="Seperation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'Sensible breakdown'!$C$8:$C$9</c:f>
              <c:strCache>
                <c:ptCount val="1"/>
                <c:pt idx="0">
                  <c:v>Proposed MWh</c:v>
                </c:pt>
              </c:strCache>
            </c:strRef>
          </c:tx>
          <c:invertIfNegative val="0"/>
          <c:cat>
            <c:strRef>
              <c:f>'Sensible breakdown'!$B$10:$B$25</c:f>
              <c:strCache>
                <c:ptCount val="16"/>
                <c:pt idx="0">
                  <c:v>Air heating</c:v>
                </c:pt>
                <c:pt idx="1">
                  <c:v>Air cooling</c:v>
                </c:pt>
                <c:pt idx="2">
                  <c:v>Surface heating</c:v>
                </c:pt>
                <c:pt idx="3">
                  <c:v>Surface cooling</c:v>
                </c:pt>
                <c:pt idx="4">
                  <c:v>People</c:v>
                </c:pt>
                <c:pt idx="5">
                  <c:v>Lights</c:v>
                </c:pt>
                <c:pt idx="6">
                  <c:v>Equipment</c:v>
                </c:pt>
                <c:pt idx="7">
                  <c:v>Window heat</c:v>
                </c:pt>
                <c:pt idx="8">
                  <c:v>Interzone heat</c:v>
                </c:pt>
                <c:pt idx="9">
                  <c:v>Infiltration heat</c:v>
                </c:pt>
                <c:pt idx="10">
                  <c:v>Surface condution heat</c:v>
                </c:pt>
                <c:pt idx="11">
                  <c:v>Equipment cooling</c:v>
                </c:pt>
                <c:pt idx="12">
                  <c:v>Window cooling</c:v>
                </c:pt>
                <c:pt idx="13">
                  <c:v>Interzone cooling</c:v>
                </c:pt>
                <c:pt idx="14">
                  <c:v>Infiltration cooling</c:v>
                </c:pt>
                <c:pt idx="15">
                  <c:v>Surface cooling</c:v>
                </c:pt>
              </c:strCache>
            </c:strRef>
          </c:cat>
          <c:val>
            <c:numRef>
              <c:f>'Sensible breakdown'!$C$10:$C$25</c:f>
              <c:numCache>
                <c:formatCode>0</c:formatCode>
                <c:ptCount val="16"/>
                <c:pt idx="0">
                  <c:v>32.236249100000002</c:v>
                </c:pt>
                <c:pt idx="1">
                  <c:v>-318.9004051</c:v>
                </c:pt>
                <c:pt idx="2">
                  <c:v>0</c:v>
                </c:pt>
                <c:pt idx="3">
                  <c:v>0</c:v>
                </c:pt>
                <c:pt idx="4">
                  <c:v>68.254494500000007</c:v>
                </c:pt>
                <c:pt idx="5">
                  <c:v>89.347753400000002</c:v>
                </c:pt>
                <c:pt idx="6">
                  <c:v>149.82276010000001</c:v>
                </c:pt>
                <c:pt idx="7">
                  <c:v>242.4840299</c:v>
                </c:pt>
                <c:pt idx="8">
                  <c:v>0</c:v>
                </c:pt>
                <c:pt idx="9">
                  <c:v>0.66925699999999999</c:v>
                </c:pt>
                <c:pt idx="10">
                  <c:v>31.130725399999999</c:v>
                </c:pt>
                <c:pt idx="11">
                  <c:v>0</c:v>
                </c:pt>
                <c:pt idx="12">
                  <c:v>-146.3215185</c:v>
                </c:pt>
                <c:pt idx="13">
                  <c:v>0</c:v>
                </c:pt>
                <c:pt idx="14">
                  <c:v>-52.765777</c:v>
                </c:pt>
                <c:pt idx="15">
                  <c:v>-95.957291100000006</c:v>
                </c:pt>
              </c:numCache>
            </c:numRef>
          </c:val>
        </c:ser>
        <c:ser>
          <c:idx val="5"/>
          <c:order val="1"/>
          <c:tx>
            <c:strRef>
              <c:f>'Sensible breakdown'!$H$8:$H$9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'Sensible breakdown'!$B$10:$B$25</c:f>
              <c:strCache>
                <c:ptCount val="16"/>
                <c:pt idx="0">
                  <c:v>Air heating</c:v>
                </c:pt>
                <c:pt idx="1">
                  <c:v>Air cooling</c:v>
                </c:pt>
                <c:pt idx="2">
                  <c:v>Surface heating</c:v>
                </c:pt>
                <c:pt idx="3">
                  <c:v>Surface cooling</c:v>
                </c:pt>
                <c:pt idx="4">
                  <c:v>People</c:v>
                </c:pt>
                <c:pt idx="5">
                  <c:v>Lights</c:v>
                </c:pt>
                <c:pt idx="6">
                  <c:v>Equipment</c:v>
                </c:pt>
                <c:pt idx="7">
                  <c:v>Window heat</c:v>
                </c:pt>
                <c:pt idx="8">
                  <c:v>Interzone heat</c:v>
                </c:pt>
                <c:pt idx="9">
                  <c:v>Infiltration heat</c:v>
                </c:pt>
                <c:pt idx="10">
                  <c:v>Surface condution heat</c:v>
                </c:pt>
                <c:pt idx="11">
                  <c:v>Equipment cooling</c:v>
                </c:pt>
                <c:pt idx="12">
                  <c:v>Window cooling</c:v>
                </c:pt>
                <c:pt idx="13">
                  <c:v>Interzone cooling</c:v>
                </c:pt>
                <c:pt idx="14">
                  <c:v>Infiltration cooling</c:v>
                </c:pt>
                <c:pt idx="15">
                  <c:v>Surface cooling</c:v>
                </c:pt>
              </c:strCache>
            </c:strRef>
          </c:cat>
          <c:val>
            <c:numRef>
              <c:f>'Sensible breakdown'!$H$10:$H$25</c:f>
              <c:numCache>
                <c:formatCode>0</c:formatCode>
                <c:ptCount val="16"/>
                <c:pt idx="0">
                  <c:v>103.3002345</c:v>
                </c:pt>
                <c:pt idx="1">
                  <c:v>-288.691018875</c:v>
                </c:pt>
                <c:pt idx="2">
                  <c:v>0</c:v>
                </c:pt>
                <c:pt idx="3">
                  <c:v>0</c:v>
                </c:pt>
                <c:pt idx="4">
                  <c:v>73.352094550000004</c:v>
                </c:pt>
                <c:pt idx="5">
                  <c:v>113.8339509</c:v>
                </c:pt>
                <c:pt idx="6">
                  <c:v>148.34622920000001</c:v>
                </c:pt>
                <c:pt idx="7">
                  <c:v>149.09324219999999</c:v>
                </c:pt>
                <c:pt idx="8">
                  <c:v>0</c:v>
                </c:pt>
                <c:pt idx="9">
                  <c:v>1.3262257749999999</c:v>
                </c:pt>
                <c:pt idx="10">
                  <c:v>19.4384446</c:v>
                </c:pt>
                <c:pt idx="11">
                  <c:v>0</c:v>
                </c:pt>
                <c:pt idx="12">
                  <c:v>-166.2120587</c:v>
                </c:pt>
                <c:pt idx="13">
                  <c:v>0</c:v>
                </c:pt>
                <c:pt idx="14">
                  <c:v>-43.206648749999999</c:v>
                </c:pt>
                <c:pt idx="15">
                  <c:v>-110.5818062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28000"/>
        <c:axId val="44529536"/>
      </c:barChart>
      <c:catAx>
        <c:axId val="4452800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46000"/>
                </a:schemeClr>
              </a:solidFill>
              <a:prstDash val="dash"/>
            </a:ln>
          </c:spPr>
        </c:majorGridlines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4529536"/>
        <c:crosses val="autoZero"/>
        <c:auto val="1"/>
        <c:lblAlgn val="ctr"/>
        <c:lblOffset val="100"/>
        <c:noMultiLvlLbl val="0"/>
      </c:catAx>
      <c:valAx>
        <c:axId val="445295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Energy Balance [MWh/a]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44528000"/>
        <c:crosses val="autoZero"/>
        <c:crossBetween val="between"/>
      </c:valAx>
      <c:dTable>
        <c:showHorzBorder val="0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500" cy="5992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2/Twin_Riga_ENE5/02%20Analysis/LZC%20-%20TCA3%20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results"/>
      <sheetName val="Parameters"/>
      <sheetName val="Fuel"/>
      <sheetName val="Carbon"/>
      <sheetName val="Summary"/>
      <sheetName val="1_Solar"/>
      <sheetName val="Example lookup"/>
      <sheetName val="LZC - TCA3 r00"/>
    </sheetNames>
    <sheetDataSet>
      <sheetData sheetId="0"/>
      <sheetData sheetId="1">
        <row r="3">
          <cell r="B3" t="str">
            <v>TC A3</v>
          </cell>
        </row>
        <row r="28">
          <cell r="B28">
            <v>250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ables/table1.xml><?xml version="1.0" encoding="utf-8"?>
<table xmlns="http://schemas.openxmlformats.org/spreadsheetml/2006/main" id="1" name="Table1" displayName="Table1" ref="A1:I287" totalsRowShown="0">
  <autoFilter ref="A1:I287"/>
  <tableColumns count="9">
    <tableColumn id="4" name="Item Building:  -"/>
    <tableColumn id="5" name="Item"/>
    <tableColumn id="6" name="Building: "/>
    <tableColumn id="7" name="-"/>
    <tableColumn id="8" name="Baseline"/>
    <tableColumn id="9" name="Baseline2"/>
    <tableColumn id="10" name="Baseline3"/>
    <tableColumn id="2" name="Baseline4"/>
    <tableColumn id="11" name="Propos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topLeftCell="B251" zoomScale="85" zoomScaleNormal="85" workbookViewId="0">
      <selection activeCell="F293" sqref="F293"/>
    </sheetView>
  </sheetViews>
  <sheetFormatPr defaultColWidth="66.28515625" defaultRowHeight="15" x14ac:dyDescent="0.25"/>
  <cols>
    <col min="1" max="1" width="115.42578125" bestFit="1" customWidth="1"/>
    <col min="2" max="2" width="44" bestFit="1" customWidth="1"/>
    <col min="3" max="3" width="53.42578125" bestFit="1" customWidth="1"/>
    <col min="4" max="4" width="45.85546875" bestFit="1" customWidth="1"/>
    <col min="5" max="6" width="17.140625" customWidth="1"/>
  </cols>
  <sheetData>
    <row r="1" spans="1:9" x14ac:dyDescent="0.25">
      <c r="A1" t="s">
        <v>141</v>
      </c>
      <c r="B1" t="s">
        <v>5</v>
      </c>
      <c r="C1" t="s">
        <v>6</v>
      </c>
      <c r="D1" t="s">
        <v>7</v>
      </c>
      <c r="E1" t="s">
        <v>8</v>
      </c>
      <c r="F1" t="s">
        <v>97</v>
      </c>
      <c r="G1" t="s">
        <v>98</v>
      </c>
      <c r="H1" t="s">
        <v>99</v>
      </c>
      <c r="I1" t="s">
        <v>142</v>
      </c>
    </row>
    <row r="2" spans="1:9" x14ac:dyDescent="0.25">
      <c r="A2" t="s">
        <v>249</v>
      </c>
      <c r="B2" t="s">
        <v>44</v>
      </c>
      <c r="C2" t="s">
        <v>45</v>
      </c>
      <c r="D2" t="s">
        <v>46</v>
      </c>
      <c r="E2">
        <v>1190.2036800000001</v>
      </c>
      <c r="F2">
        <v>1178.7054499999999</v>
      </c>
      <c r="G2">
        <v>1192.4104500000001</v>
      </c>
      <c r="H2">
        <v>1174.2600399999999</v>
      </c>
      <c r="I2">
        <v>797.70207000000005</v>
      </c>
    </row>
    <row r="3" spans="1:9" x14ac:dyDescent="0.25">
      <c r="A3" t="s">
        <v>250</v>
      </c>
      <c r="B3" t="s">
        <v>44</v>
      </c>
      <c r="C3" t="s">
        <v>45</v>
      </c>
      <c r="D3" t="s">
        <v>47</v>
      </c>
      <c r="E3">
        <v>309.18</v>
      </c>
      <c r="F3">
        <v>306.19</v>
      </c>
      <c r="G3">
        <v>309.75</v>
      </c>
      <c r="H3">
        <v>305.04000000000002</v>
      </c>
      <c r="I3">
        <v>207.22</v>
      </c>
    </row>
    <row r="4" spans="1:9" x14ac:dyDescent="0.25">
      <c r="A4" t="s">
        <v>251</v>
      </c>
      <c r="B4" t="s">
        <v>44</v>
      </c>
      <c r="C4" t="s">
        <v>45</v>
      </c>
      <c r="D4" t="s">
        <v>48</v>
      </c>
      <c r="E4">
        <v>357.3</v>
      </c>
      <c r="F4">
        <v>353.85</v>
      </c>
      <c r="G4">
        <v>357.96</v>
      </c>
      <c r="H4">
        <v>352.52</v>
      </c>
      <c r="I4">
        <v>240.13</v>
      </c>
    </row>
    <row r="5" spans="1:9" x14ac:dyDescent="0.25">
      <c r="A5" t="s">
        <v>252</v>
      </c>
      <c r="B5" t="s">
        <v>44</v>
      </c>
      <c r="C5" t="s">
        <v>49</v>
      </c>
      <c r="D5" t="s">
        <v>46</v>
      </c>
      <c r="E5">
        <v>1190.2036800000001</v>
      </c>
      <c r="F5">
        <v>1178.7054499999999</v>
      </c>
      <c r="G5">
        <v>1192.4104500000001</v>
      </c>
      <c r="H5">
        <v>1174.2600399999999</v>
      </c>
      <c r="I5">
        <v>797.70207000000005</v>
      </c>
    </row>
    <row r="6" spans="1:9" x14ac:dyDescent="0.25">
      <c r="A6" t="s">
        <v>253</v>
      </c>
      <c r="B6" t="s">
        <v>44</v>
      </c>
      <c r="C6" t="s">
        <v>49</v>
      </c>
      <c r="D6" t="s">
        <v>47</v>
      </c>
      <c r="E6">
        <v>309.18</v>
      </c>
      <c r="F6">
        <v>306.19</v>
      </c>
      <c r="G6">
        <v>309.75</v>
      </c>
      <c r="H6">
        <v>305.04000000000002</v>
      </c>
      <c r="I6">
        <v>207.22</v>
      </c>
    </row>
    <row r="7" spans="1:9" x14ac:dyDescent="0.25">
      <c r="A7" t="s">
        <v>254</v>
      </c>
      <c r="B7" t="s">
        <v>44</v>
      </c>
      <c r="C7" t="s">
        <v>49</v>
      </c>
      <c r="D7" t="s">
        <v>48</v>
      </c>
      <c r="E7">
        <v>357.3</v>
      </c>
      <c r="F7">
        <v>353.85</v>
      </c>
      <c r="G7">
        <v>357.96</v>
      </c>
      <c r="H7">
        <v>352.52</v>
      </c>
      <c r="I7">
        <v>240.13</v>
      </c>
    </row>
    <row r="8" spans="1:9" x14ac:dyDescent="0.25">
      <c r="A8" t="s">
        <v>255</v>
      </c>
      <c r="B8" t="s">
        <v>44</v>
      </c>
      <c r="C8" t="s">
        <v>50</v>
      </c>
      <c r="D8" t="s">
        <v>46</v>
      </c>
      <c r="E8">
        <v>2662.6073299999998</v>
      </c>
      <c r="F8">
        <v>2643.6432500000001</v>
      </c>
      <c r="G8">
        <v>2668.5594599999999</v>
      </c>
      <c r="H8">
        <v>2631.7329300000001</v>
      </c>
      <c r="I8">
        <v>2041.88</v>
      </c>
    </row>
    <row r="9" spans="1:9" x14ac:dyDescent="0.25">
      <c r="A9" t="s">
        <v>256</v>
      </c>
      <c r="B9" t="s">
        <v>44</v>
      </c>
      <c r="C9" t="s">
        <v>50</v>
      </c>
      <c r="D9" t="s">
        <v>47</v>
      </c>
      <c r="E9">
        <v>691.66</v>
      </c>
      <c r="F9">
        <v>686.74</v>
      </c>
      <c r="G9">
        <v>693.21</v>
      </c>
      <c r="H9">
        <v>683.64</v>
      </c>
      <c r="I9">
        <v>530.41999999999996</v>
      </c>
    </row>
    <row r="10" spans="1:9" x14ac:dyDescent="0.25">
      <c r="A10" t="s">
        <v>257</v>
      </c>
      <c r="B10" t="s">
        <v>44</v>
      </c>
      <c r="C10" t="s">
        <v>50</v>
      </c>
      <c r="D10" t="s">
        <v>48</v>
      </c>
      <c r="E10">
        <v>799.32</v>
      </c>
      <c r="F10">
        <v>793.63</v>
      </c>
      <c r="G10">
        <v>801.11</v>
      </c>
      <c r="H10">
        <v>790.05</v>
      </c>
      <c r="I10">
        <v>614.66</v>
      </c>
    </row>
    <row r="11" spans="1:9" x14ac:dyDescent="0.25">
      <c r="A11" t="s">
        <v>258</v>
      </c>
      <c r="B11" t="s">
        <v>44</v>
      </c>
      <c r="C11" t="s">
        <v>51</v>
      </c>
      <c r="D11" t="s">
        <v>46</v>
      </c>
      <c r="E11">
        <v>2662.6073299999998</v>
      </c>
      <c r="F11">
        <v>2643.6432500000001</v>
      </c>
      <c r="G11">
        <v>2668.5594599999999</v>
      </c>
      <c r="H11">
        <v>2631.7329300000001</v>
      </c>
      <c r="I11">
        <v>2041.88</v>
      </c>
    </row>
    <row r="12" spans="1:9" x14ac:dyDescent="0.25">
      <c r="A12" t="s">
        <v>259</v>
      </c>
      <c r="B12" t="s">
        <v>44</v>
      </c>
      <c r="C12" t="s">
        <v>51</v>
      </c>
      <c r="D12" t="s">
        <v>47</v>
      </c>
      <c r="E12">
        <v>691.66</v>
      </c>
      <c r="F12">
        <v>686.74</v>
      </c>
      <c r="G12">
        <v>693.21</v>
      </c>
      <c r="H12">
        <v>683.64</v>
      </c>
      <c r="I12">
        <v>530.41999999999996</v>
      </c>
    </row>
    <row r="13" spans="1:9" x14ac:dyDescent="0.25">
      <c r="A13" t="s">
        <v>260</v>
      </c>
      <c r="B13" t="s">
        <v>44</v>
      </c>
      <c r="C13" t="s">
        <v>51</v>
      </c>
      <c r="D13" t="s">
        <v>48</v>
      </c>
      <c r="E13">
        <v>799.32</v>
      </c>
      <c r="F13">
        <v>793.63</v>
      </c>
      <c r="G13">
        <v>801.11</v>
      </c>
      <c r="H13">
        <v>790.05</v>
      </c>
      <c r="I13">
        <v>614.66</v>
      </c>
    </row>
    <row r="14" spans="1:9" x14ac:dyDescent="0.25">
      <c r="A14" t="s">
        <v>143</v>
      </c>
      <c r="B14" t="s">
        <v>9</v>
      </c>
      <c r="C14" t="s">
        <v>10</v>
      </c>
      <c r="D14" t="s">
        <v>11</v>
      </c>
      <c r="E14" t="s">
        <v>484</v>
      </c>
      <c r="F14" t="s">
        <v>484</v>
      </c>
      <c r="G14" t="s">
        <v>484</v>
      </c>
      <c r="H14" t="s">
        <v>484</v>
      </c>
      <c r="I14" t="s">
        <v>484</v>
      </c>
    </row>
    <row r="15" spans="1:9" x14ac:dyDescent="0.25">
      <c r="A15" t="s">
        <v>144</v>
      </c>
      <c r="B15" t="s">
        <v>9</v>
      </c>
      <c r="C15" t="s">
        <v>12</v>
      </c>
      <c r="D15" t="s">
        <v>11</v>
      </c>
      <c r="E15" t="s">
        <v>485</v>
      </c>
      <c r="F15" t="s">
        <v>485</v>
      </c>
      <c r="G15" t="s">
        <v>485</v>
      </c>
      <c r="H15" t="s">
        <v>485</v>
      </c>
      <c r="I15" t="s">
        <v>485</v>
      </c>
    </row>
    <row r="16" spans="1:9" x14ac:dyDescent="0.25">
      <c r="A16" t="s">
        <v>145</v>
      </c>
      <c r="B16" t="s">
        <v>9</v>
      </c>
      <c r="C16" t="s">
        <v>13</v>
      </c>
      <c r="D16" t="s">
        <v>11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</row>
    <row r="17" spans="1:9" x14ac:dyDescent="0.25">
      <c r="A17" t="s">
        <v>146</v>
      </c>
      <c r="B17" t="s">
        <v>9</v>
      </c>
      <c r="C17" t="s">
        <v>15</v>
      </c>
      <c r="D17" t="s">
        <v>11</v>
      </c>
      <c r="E17">
        <v>48.2</v>
      </c>
      <c r="F17">
        <v>48.2</v>
      </c>
      <c r="G17">
        <v>48.2</v>
      </c>
      <c r="H17">
        <v>48.2</v>
      </c>
      <c r="I17">
        <v>48.2</v>
      </c>
    </row>
    <row r="18" spans="1:9" x14ac:dyDescent="0.25">
      <c r="A18" t="s">
        <v>147</v>
      </c>
      <c r="B18" t="s">
        <v>9</v>
      </c>
      <c r="C18" t="s">
        <v>16</v>
      </c>
      <c r="D18" t="s">
        <v>11</v>
      </c>
      <c r="E18">
        <v>17.2</v>
      </c>
      <c r="F18">
        <v>17.2</v>
      </c>
      <c r="G18">
        <v>17.2</v>
      </c>
      <c r="H18">
        <v>17.2</v>
      </c>
      <c r="I18">
        <v>17.2</v>
      </c>
    </row>
    <row r="19" spans="1:9" x14ac:dyDescent="0.25">
      <c r="A19" t="s">
        <v>148</v>
      </c>
      <c r="B19" t="s">
        <v>9</v>
      </c>
      <c r="C19" t="s">
        <v>17</v>
      </c>
      <c r="D19" t="s">
        <v>11</v>
      </c>
      <c r="E19">
        <v>130</v>
      </c>
      <c r="F19">
        <v>130</v>
      </c>
      <c r="G19">
        <v>130</v>
      </c>
      <c r="H19">
        <v>130</v>
      </c>
      <c r="I19">
        <v>130</v>
      </c>
    </row>
    <row r="20" spans="1:9" x14ac:dyDescent="0.25">
      <c r="A20" t="s">
        <v>149</v>
      </c>
      <c r="B20" t="s">
        <v>9</v>
      </c>
      <c r="C20" t="s">
        <v>18</v>
      </c>
      <c r="D20" t="s">
        <v>11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150</v>
      </c>
      <c r="B21" t="s">
        <v>9</v>
      </c>
      <c r="C21" t="s">
        <v>19</v>
      </c>
      <c r="D21" t="s">
        <v>11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151</v>
      </c>
      <c r="B22" t="s">
        <v>9</v>
      </c>
      <c r="C22" t="s">
        <v>20</v>
      </c>
      <c r="D22" t="s">
        <v>11</v>
      </c>
      <c r="E22">
        <v>0</v>
      </c>
      <c r="F22">
        <v>90</v>
      </c>
      <c r="G22">
        <v>180</v>
      </c>
      <c r="H22">
        <v>270</v>
      </c>
      <c r="I22">
        <v>0</v>
      </c>
    </row>
    <row r="23" spans="1:9" x14ac:dyDescent="0.25">
      <c r="A23" t="s">
        <v>152</v>
      </c>
      <c r="B23" t="s">
        <v>9</v>
      </c>
      <c r="C23" t="s">
        <v>21</v>
      </c>
      <c r="D23" t="s">
        <v>11</v>
      </c>
      <c r="E23">
        <v>8760</v>
      </c>
      <c r="F23">
        <v>8760</v>
      </c>
      <c r="G23">
        <v>8760</v>
      </c>
      <c r="H23">
        <v>8760</v>
      </c>
      <c r="I23">
        <v>8760</v>
      </c>
    </row>
    <row r="24" spans="1:9" x14ac:dyDescent="0.25">
      <c r="A24" t="s">
        <v>153</v>
      </c>
      <c r="B24" t="s">
        <v>22</v>
      </c>
      <c r="C24" t="s">
        <v>23</v>
      </c>
      <c r="D24" t="s">
        <v>24</v>
      </c>
      <c r="E24">
        <v>113.834784</v>
      </c>
      <c r="F24">
        <v>113.834784</v>
      </c>
      <c r="G24">
        <v>113.834784</v>
      </c>
      <c r="H24">
        <v>113.834784</v>
      </c>
      <c r="I24">
        <v>89.347198000000006</v>
      </c>
    </row>
    <row r="25" spans="1:9" x14ac:dyDescent="0.25">
      <c r="A25" t="s">
        <v>154</v>
      </c>
      <c r="B25" t="s">
        <v>22</v>
      </c>
      <c r="C25" t="s">
        <v>23</v>
      </c>
      <c r="D25" t="s">
        <v>25</v>
      </c>
      <c r="E25">
        <v>36616.15</v>
      </c>
      <c r="F25">
        <v>36616.15</v>
      </c>
      <c r="G25">
        <v>36616.15</v>
      </c>
      <c r="H25">
        <v>36616.15</v>
      </c>
      <c r="I25">
        <v>28765.88</v>
      </c>
    </row>
    <row r="26" spans="1:9" x14ac:dyDescent="0.25">
      <c r="A26" t="s">
        <v>155</v>
      </c>
      <c r="B26" t="s">
        <v>22</v>
      </c>
      <c r="C26" t="s">
        <v>23</v>
      </c>
      <c r="D26" t="s">
        <v>26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156</v>
      </c>
      <c r="B27" t="s">
        <v>22</v>
      </c>
      <c r="C27" t="s">
        <v>23</v>
      </c>
      <c r="D27" t="s">
        <v>27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157</v>
      </c>
      <c r="B28" t="s">
        <v>22</v>
      </c>
      <c r="C28" t="s">
        <v>23</v>
      </c>
      <c r="D28" t="s">
        <v>28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158</v>
      </c>
      <c r="B29" t="s">
        <v>22</v>
      </c>
      <c r="C29" t="s">
        <v>23</v>
      </c>
      <c r="D29" t="s">
        <v>29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 t="s">
        <v>159</v>
      </c>
      <c r="B30" t="s">
        <v>22</v>
      </c>
      <c r="C30" t="s">
        <v>30</v>
      </c>
      <c r="D30" t="s">
        <v>24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 t="s">
        <v>160</v>
      </c>
      <c r="B31" t="s">
        <v>22</v>
      </c>
      <c r="C31" t="s">
        <v>30</v>
      </c>
      <c r="D31" t="s">
        <v>25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161</v>
      </c>
      <c r="B32" t="s">
        <v>22</v>
      </c>
      <c r="C32" t="s">
        <v>30</v>
      </c>
      <c r="D32" t="s">
        <v>26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162</v>
      </c>
      <c r="B33" t="s">
        <v>22</v>
      </c>
      <c r="C33" t="s">
        <v>30</v>
      </c>
      <c r="D33" t="s">
        <v>27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163</v>
      </c>
      <c r="B34" t="s">
        <v>22</v>
      </c>
      <c r="C34" t="s">
        <v>30</v>
      </c>
      <c r="D34" t="s">
        <v>28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164</v>
      </c>
      <c r="B35" t="s">
        <v>22</v>
      </c>
      <c r="C35" t="s">
        <v>30</v>
      </c>
      <c r="D35" t="s">
        <v>29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165</v>
      </c>
      <c r="B36" t="s">
        <v>22</v>
      </c>
      <c r="C36" t="s">
        <v>31</v>
      </c>
      <c r="D36" t="s">
        <v>24</v>
      </c>
      <c r="E36">
        <v>0</v>
      </c>
      <c r="F36">
        <v>0</v>
      </c>
      <c r="G36">
        <v>0</v>
      </c>
      <c r="H36">
        <v>0</v>
      </c>
      <c r="I36">
        <v>3.0547000000000001E-2</v>
      </c>
    </row>
    <row r="37" spans="1:9" x14ac:dyDescent="0.25">
      <c r="A37" t="s">
        <v>166</v>
      </c>
      <c r="B37" t="s">
        <v>22</v>
      </c>
      <c r="C37" t="s">
        <v>31</v>
      </c>
      <c r="D37" t="s">
        <v>25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167</v>
      </c>
      <c r="B38" t="s">
        <v>22</v>
      </c>
      <c r="C38" t="s">
        <v>31</v>
      </c>
      <c r="D38" t="s">
        <v>26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168</v>
      </c>
      <c r="B39" t="s">
        <v>22</v>
      </c>
      <c r="C39" t="s">
        <v>31</v>
      </c>
      <c r="D39" t="s">
        <v>27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169</v>
      </c>
      <c r="B40" t="s">
        <v>22</v>
      </c>
      <c r="C40" t="s">
        <v>31</v>
      </c>
      <c r="D40" t="s">
        <v>28</v>
      </c>
      <c r="E40">
        <v>510.59310499999998</v>
      </c>
      <c r="F40">
        <v>502.54258199999998</v>
      </c>
      <c r="G40">
        <v>511.07352600000002</v>
      </c>
      <c r="H40">
        <v>501.54286200000001</v>
      </c>
      <c r="I40">
        <v>223.49296000000001</v>
      </c>
    </row>
    <row r="41" spans="1:9" x14ac:dyDescent="0.25">
      <c r="A41" t="s">
        <v>170</v>
      </c>
      <c r="B41" t="s">
        <v>22</v>
      </c>
      <c r="C41" t="s">
        <v>31</v>
      </c>
      <c r="D41" t="s">
        <v>29</v>
      </c>
      <c r="E41">
        <v>340391.02</v>
      </c>
      <c r="F41">
        <v>336462.12</v>
      </c>
      <c r="G41">
        <v>342065.61</v>
      </c>
      <c r="H41">
        <v>336706.52</v>
      </c>
      <c r="I41">
        <v>487452.66</v>
      </c>
    </row>
    <row r="42" spans="1:9" x14ac:dyDescent="0.25">
      <c r="A42" t="s">
        <v>171</v>
      </c>
      <c r="B42" t="s">
        <v>22</v>
      </c>
      <c r="C42" t="s">
        <v>32</v>
      </c>
      <c r="D42" t="s">
        <v>24</v>
      </c>
      <c r="E42">
        <v>111.702048</v>
      </c>
      <c r="F42">
        <v>110.258008</v>
      </c>
      <c r="G42">
        <v>112.343535</v>
      </c>
      <c r="H42">
        <v>109.463786</v>
      </c>
      <c r="I42">
        <v>80.271962000000002</v>
      </c>
    </row>
    <row r="43" spans="1:9" x14ac:dyDescent="0.25">
      <c r="A43" t="s">
        <v>172</v>
      </c>
      <c r="B43" t="s">
        <v>22</v>
      </c>
      <c r="C43" t="s">
        <v>32</v>
      </c>
      <c r="D43" t="s">
        <v>25</v>
      </c>
      <c r="E43">
        <v>110332.37</v>
      </c>
      <c r="F43">
        <v>108286.71</v>
      </c>
      <c r="G43">
        <v>111227.78</v>
      </c>
      <c r="H43">
        <v>108419.78</v>
      </c>
      <c r="I43">
        <v>134635.17000000001</v>
      </c>
    </row>
    <row r="44" spans="1:9" x14ac:dyDescent="0.25">
      <c r="A44" t="s">
        <v>173</v>
      </c>
      <c r="B44" t="s">
        <v>22</v>
      </c>
      <c r="C44" t="s">
        <v>32</v>
      </c>
      <c r="D44" t="s">
        <v>26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174</v>
      </c>
      <c r="B45" t="s">
        <v>22</v>
      </c>
      <c r="C45" t="s">
        <v>32</v>
      </c>
      <c r="D45" t="s">
        <v>27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175</v>
      </c>
      <c r="B46" t="s">
        <v>22</v>
      </c>
      <c r="C46" t="s">
        <v>32</v>
      </c>
      <c r="D46" t="s">
        <v>28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176</v>
      </c>
      <c r="B47" t="s">
        <v>22</v>
      </c>
      <c r="C47" t="s">
        <v>32</v>
      </c>
      <c r="D47" t="s">
        <v>29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177</v>
      </c>
      <c r="B48" t="s">
        <v>22</v>
      </c>
      <c r="C48" t="s">
        <v>3</v>
      </c>
      <c r="D48" t="s">
        <v>24</v>
      </c>
      <c r="E48">
        <v>5.5234529999999999</v>
      </c>
      <c r="F48">
        <v>5.4595820000000002</v>
      </c>
      <c r="G48">
        <v>5.5512230000000002</v>
      </c>
      <c r="H48">
        <v>5.4651360000000002</v>
      </c>
      <c r="I48">
        <v>1.7328479999999999</v>
      </c>
    </row>
    <row r="49" spans="1:9" x14ac:dyDescent="0.25">
      <c r="A49" t="s">
        <v>178</v>
      </c>
      <c r="B49" t="s">
        <v>22</v>
      </c>
      <c r="C49" t="s">
        <v>3</v>
      </c>
      <c r="D49" t="s">
        <v>25</v>
      </c>
      <c r="E49">
        <v>630.74</v>
      </c>
      <c r="F49">
        <v>623.46</v>
      </c>
      <c r="G49">
        <v>633.84</v>
      </c>
      <c r="H49">
        <v>623.91</v>
      </c>
      <c r="I49">
        <v>467.1</v>
      </c>
    </row>
    <row r="50" spans="1:9" x14ac:dyDescent="0.25">
      <c r="A50" t="s">
        <v>179</v>
      </c>
      <c r="B50" t="s">
        <v>22</v>
      </c>
      <c r="C50" t="s">
        <v>3</v>
      </c>
      <c r="D50" t="s">
        <v>26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 t="s">
        <v>180</v>
      </c>
      <c r="B51" t="s">
        <v>22</v>
      </c>
      <c r="C51" t="s">
        <v>3</v>
      </c>
      <c r="D51" t="s">
        <v>27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 t="s">
        <v>181</v>
      </c>
      <c r="B52" t="s">
        <v>22</v>
      </c>
      <c r="C52" t="s">
        <v>3</v>
      </c>
      <c r="D52" t="s">
        <v>28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 t="s">
        <v>182</v>
      </c>
      <c r="B53" t="s">
        <v>22</v>
      </c>
      <c r="C53" t="s">
        <v>3</v>
      </c>
      <c r="D53" t="s">
        <v>29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 t="s">
        <v>183</v>
      </c>
      <c r="B54" t="s">
        <v>22</v>
      </c>
      <c r="C54" t="s">
        <v>33</v>
      </c>
      <c r="D54" t="s">
        <v>24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 t="s">
        <v>184</v>
      </c>
      <c r="B55" t="s">
        <v>22</v>
      </c>
      <c r="C55" t="s">
        <v>33</v>
      </c>
      <c r="D55" t="s">
        <v>25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 t="s">
        <v>185</v>
      </c>
      <c r="B56" t="s">
        <v>22</v>
      </c>
      <c r="C56" t="s">
        <v>33</v>
      </c>
      <c r="D56" t="s">
        <v>26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t="s">
        <v>186</v>
      </c>
      <c r="B57" t="s">
        <v>22</v>
      </c>
      <c r="C57" t="s">
        <v>33</v>
      </c>
      <c r="D57" t="s">
        <v>27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 t="s">
        <v>187</v>
      </c>
      <c r="B58" t="s">
        <v>22</v>
      </c>
      <c r="C58" t="s">
        <v>33</v>
      </c>
      <c r="D58" t="s">
        <v>28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 t="s">
        <v>188</v>
      </c>
      <c r="B59" t="s">
        <v>22</v>
      </c>
      <c r="C59" t="s">
        <v>33</v>
      </c>
      <c r="D59" t="s">
        <v>29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 t="s">
        <v>189</v>
      </c>
      <c r="B60" t="s">
        <v>22</v>
      </c>
      <c r="C60" t="s">
        <v>34</v>
      </c>
      <c r="D60" t="s">
        <v>24</v>
      </c>
      <c r="E60">
        <v>203.320832</v>
      </c>
      <c r="F60">
        <v>201.382486</v>
      </c>
      <c r="G60">
        <v>204.38164599999999</v>
      </c>
      <c r="H60">
        <v>198.733228</v>
      </c>
      <c r="I60">
        <v>156.23124300000001</v>
      </c>
    </row>
    <row r="61" spans="1:9" x14ac:dyDescent="0.25">
      <c r="A61" t="s">
        <v>190</v>
      </c>
      <c r="B61" t="s">
        <v>22</v>
      </c>
      <c r="C61" t="s">
        <v>34</v>
      </c>
      <c r="D61" t="s">
        <v>25</v>
      </c>
      <c r="E61">
        <v>28936.27</v>
      </c>
      <c r="F61">
        <v>28306.9</v>
      </c>
      <c r="G61">
        <v>29143.64</v>
      </c>
      <c r="H61">
        <v>28396.94</v>
      </c>
      <c r="I61">
        <v>44252.14</v>
      </c>
    </row>
    <row r="62" spans="1:9" x14ac:dyDescent="0.25">
      <c r="A62" t="s">
        <v>191</v>
      </c>
      <c r="B62" t="s">
        <v>22</v>
      </c>
      <c r="C62" t="s">
        <v>34</v>
      </c>
      <c r="D62" t="s">
        <v>26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192</v>
      </c>
      <c r="B63" t="s">
        <v>22</v>
      </c>
      <c r="C63" t="s">
        <v>34</v>
      </c>
      <c r="D63" t="s">
        <v>27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193</v>
      </c>
      <c r="B64" t="s">
        <v>22</v>
      </c>
      <c r="C64" t="s">
        <v>34</v>
      </c>
      <c r="D64" t="s">
        <v>28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194</v>
      </c>
      <c r="B65" t="s">
        <v>22</v>
      </c>
      <c r="C65" t="s">
        <v>34</v>
      </c>
      <c r="D65" t="s">
        <v>29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195</v>
      </c>
      <c r="B66" t="s">
        <v>22</v>
      </c>
      <c r="C66" t="s">
        <v>35</v>
      </c>
      <c r="D66" t="s">
        <v>24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196</v>
      </c>
      <c r="B67" t="s">
        <v>22</v>
      </c>
      <c r="C67" t="s">
        <v>35</v>
      </c>
      <c r="D67" t="s">
        <v>25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">
        <v>197</v>
      </c>
      <c r="B68" t="s">
        <v>22</v>
      </c>
      <c r="C68" t="s">
        <v>35</v>
      </c>
      <c r="D68" t="s">
        <v>26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198</v>
      </c>
      <c r="B69" t="s">
        <v>22</v>
      </c>
      <c r="C69" t="s">
        <v>35</v>
      </c>
      <c r="D69" t="s">
        <v>27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199</v>
      </c>
      <c r="B70" t="s">
        <v>22</v>
      </c>
      <c r="C70" t="s">
        <v>35</v>
      </c>
      <c r="D70" t="s">
        <v>28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200</v>
      </c>
      <c r="B71" t="s">
        <v>22</v>
      </c>
      <c r="C71" t="s">
        <v>35</v>
      </c>
      <c r="D71" t="s">
        <v>29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 t="s">
        <v>201</v>
      </c>
      <c r="B72" t="s">
        <v>22</v>
      </c>
      <c r="C72" t="s">
        <v>36</v>
      </c>
      <c r="D72" t="s">
        <v>24</v>
      </c>
      <c r="E72">
        <v>81.535497000000007</v>
      </c>
      <c r="F72">
        <v>81.535497000000007</v>
      </c>
      <c r="G72">
        <v>81.535497000000007</v>
      </c>
      <c r="H72">
        <v>81.535497000000007</v>
      </c>
      <c r="I72">
        <v>81.532719999999998</v>
      </c>
    </row>
    <row r="73" spans="1:9" x14ac:dyDescent="0.25">
      <c r="A73" t="s">
        <v>202</v>
      </c>
      <c r="B73" t="s">
        <v>22</v>
      </c>
      <c r="C73" t="s">
        <v>36</v>
      </c>
      <c r="D73" t="s">
        <v>25</v>
      </c>
      <c r="E73">
        <v>33771.72</v>
      </c>
      <c r="F73">
        <v>33771.72</v>
      </c>
      <c r="G73">
        <v>33771.72</v>
      </c>
      <c r="H73">
        <v>33771.72</v>
      </c>
      <c r="I73">
        <v>33771.72</v>
      </c>
    </row>
    <row r="74" spans="1:9" x14ac:dyDescent="0.25">
      <c r="A74" t="s">
        <v>203</v>
      </c>
      <c r="B74" t="s">
        <v>22</v>
      </c>
      <c r="C74" t="s">
        <v>36</v>
      </c>
      <c r="D74" t="s">
        <v>26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t="s">
        <v>204</v>
      </c>
      <c r="B75" t="s">
        <v>22</v>
      </c>
      <c r="C75" t="s">
        <v>36</v>
      </c>
      <c r="D75" t="s">
        <v>27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t="s">
        <v>205</v>
      </c>
      <c r="B76" t="s">
        <v>22</v>
      </c>
      <c r="C76" t="s">
        <v>36</v>
      </c>
      <c r="D76" t="s">
        <v>28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 t="s">
        <v>206</v>
      </c>
      <c r="B77" t="s">
        <v>22</v>
      </c>
      <c r="C77" t="s">
        <v>36</v>
      </c>
      <c r="D77" t="s">
        <v>29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207</v>
      </c>
      <c r="B78" t="s">
        <v>22</v>
      </c>
      <c r="C78" t="s">
        <v>37</v>
      </c>
      <c r="D78" t="s">
        <v>24</v>
      </c>
      <c r="E78">
        <v>148.34734</v>
      </c>
      <c r="F78">
        <v>148.34734</v>
      </c>
      <c r="G78">
        <v>148.34734</v>
      </c>
      <c r="H78">
        <v>148.34734</v>
      </c>
      <c r="I78">
        <v>149.82192699999999</v>
      </c>
    </row>
    <row r="79" spans="1:9" x14ac:dyDescent="0.25">
      <c r="A79" t="s">
        <v>208</v>
      </c>
      <c r="B79" t="s">
        <v>22</v>
      </c>
      <c r="C79" t="s">
        <v>37</v>
      </c>
      <c r="D79" t="s">
        <v>25</v>
      </c>
      <c r="E79">
        <v>39358.879999999997</v>
      </c>
      <c r="F79">
        <v>39358.879999999997</v>
      </c>
      <c r="G79">
        <v>39358.879999999997</v>
      </c>
      <c r="H79">
        <v>39358.879999999997</v>
      </c>
      <c r="I79">
        <v>39763.599999999999</v>
      </c>
    </row>
    <row r="80" spans="1:9" x14ac:dyDescent="0.25">
      <c r="A80" t="s">
        <v>209</v>
      </c>
      <c r="B80" t="s">
        <v>22</v>
      </c>
      <c r="C80" t="s">
        <v>37</v>
      </c>
      <c r="D80" t="s">
        <v>26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 t="s">
        <v>210</v>
      </c>
      <c r="B81" t="s">
        <v>22</v>
      </c>
      <c r="C81" t="s">
        <v>37</v>
      </c>
      <c r="D81" t="s">
        <v>27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 t="s">
        <v>211</v>
      </c>
      <c r="B82" t="s">
        <v>22</v>
      </c>
      <c r="C82" t="s">
        <v>37</v>
      </c>
      <c r="D82" t="s">
        <v>28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 t="s">
        <v>212</v>
      </c>
      <c r="B83" t="s">
        <v>22</v>
      </c>
      <c r="C83" t="s">
        <v>37</v>
      </c>
      <c r="D83" t="s">
        <v>29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213</v>
      </c>
      <c r="B84" t="s">
        <v>22</v>
      </c>
      <c r="C84" t="s">
        <v>38</v>
      </c>
      <c r="D84" t="s">
        <v>24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214</v>
      </c>
      <c r="B85" t="s">
        <v>22</v>
      </c>
      <c r="C85" t="s">
        <v>38</v>
      </c>
      <c r="D85" t="s">
        <v>25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215</v>
      </c>
      <c r="B86" t="s">
        <v>22</v>
      </c>
      <c r="C86" t="s">
        <v>38</v>
      </c>
      <c r="D86" t="s">
        <v>26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216</v>
      </c>
      <c r="B87" t="s">
        <v>22</v>
      </c>
      <c r="C87" t="s">
        <v>38</v>
      </c>
      <c r="D87" t="s">
        <v>27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217</v>
      </c>
      <c r="B88" t="s">
        <v>22</v>
      </c>
      <c r="C88" t="s">
        <v>38</v>
      </c>
      <c r="D88" t="s">
        <v>28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218</v>
      </c>
      <c r="B89" t="s">
        <v>22</v>
      </c>
      <c r="C89" t="s">
        <v>38</v>
      </c>
      <c r="D89" t="s">
        <v>29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219</v>
      </c>
      <c r="B90" t="s">
        <v>22</v>
      </c>
      <c r="C90" t="s">
        <v>39</v>
      </c>
      <c r="D90" t="s">
        <v>24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t="s">
        <v>220</v>
      </c>
      <c r="B91" t="s">
        <v>22</v>
      </c>
      <c r="C91" t="s">
        <v>39</v>
      </c>
      <c r="D91" t="s">
        <v>25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t="s">
        <v>221</v>
      </c>
      <c r="B92" t="s">
        <v>22</v>
      </c>
      <c r="C92" t="s">
        <v>39</v>
      </c>
      <c r="D92" t="s">
        <v>26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222</v>
      </c>
      <c r="B93" t="s">
        <v>22</v>
      </c>
      <c r="C93" t="s">
        <v>39</v>
      </c>
      <c r="D93" t="s">
        <v>27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223</v>
      </c>
      <c r="B94" t="s">
        <v>22</v>
      </c>
      <c r="C94" t="s">
        <v>39</v>
      </c>
      <c r="D94" t="s">
        <v>28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224</v>
      </c>
      <c r="B95" t="s">
        <v>22</v>
      </c>
      <c r="C95" t="s">
        <v>39</v>
      </c>
      <c r="D95" t="s">
        <v>29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225</v>
      </c>
      <c r="B96" t="s">
        <v>22</v>
      </c>
      <c r="C96" t="s">
        <v>40</v>
      </c>
      <c r="D96" t="s">
        <v>24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226</v>
      </c>
      <c r="B97" t="s">
        <v>22</v>
      </c>
      <c r="C97" t="s">
        <v>40</v>
      </c>
      <c r="D97" t="s">
        <v>25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227</v>
      </c>
      <c r="B98" t="s">
        <v>22</v>
      </c>
      <c r="C98" t="s">
        <v>40</v>
      </c>
      <c r="D98" t="s">
        <v>26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228</v>
      </c>
      <c r="B99" t="s">
        <v>22</v>
      </c>
      <c r="C99" t="s">
        <v>40</v>
      </c>
      <c r="D99" t="s">
        <v>27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229</v>
      </c>
      <c r="B100" t="s">
        <v>22</v>
      </c>
      <c r="C100" t="s">
        <v>40</v>
      </c>
      <c r="D100" t="s">
        <v>28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t="s">
        <v>230</v>
      </c>
      <c r="B101" t="s">
        <v>22</v>
      </c>
      <c r="C101" t="s">
        <v>40</v>
      </c>
      <c r="D101" t="s">
        <v>29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 t="s">
        <v>231</v>
      </c>
      <c r="B102" t="s">
        <v>22</v>
      </c>
      <c r="C102" t="s">
        <v>41</v>
      </c>
      <c r="D102" t="s">
        <v>24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232</v>
      </c>
      <c r="B103" t="s">
        <v>22</v>
      </c>
      <c r="C103" t="s">
        <v>41</v>
      </c>
      <c r="D103" t="s">
        <v>25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233</v>
      </c>
      <c r="B104" t="s">
        <v>22</v>
      </c>
      <c r="C104" t="s">
        <v>41</v>
      </c>
      <c r="D104" t="s">
        <v>26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234</v>
      </c>
      <c r="B105" t="s">
        <v>22</v>
      </c>
      <c r="C105" t="s">
        <v>41</v>
      </c>
      <c r="D105" t="s">
        <v>27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235</v>
      </c>
      <c r="B106" t="s">
        <v>22</v>
      </c>
      <c r="C106" t="s">
        <v>41</v>
      </c>
      <c r="D106" t="s">
        <v>28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 t="s">
        <v>236</v>
      </c>
      <c r="B107" t="s">
        <v>22</v>
      </c>
      <c r="C107" t="s">
        <v>41</v>
      </c>
      <c r="D107" t="s">
        <v>29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 t="s">
        <v>237</v>
      </c>
      <c r="B108" t="s">
        <v>22</v>
      </c>
      <c r="C108" t="s">
        <v>42</v>
      </c>
      <c r="D108" t="s">
        <v>24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 t="s">
        <v>238</v>
      </c>
      <c r="B109" t="s">
        <v>22</v>
      </c>
      <c r="C109" t="s">
        <v>42</v>
      </c>
      <c r="D109" t="s">
        <v>25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 t="s">
        <v>239</v>
      </c>
      <c r="B110" t="s">
        <v>22</v>
      </c>
      <c r="C110" t="s">
        <v>42</v>
      </c>
      <c r="D110" t="s">
        <v>26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 t="s">
        <v>240</v>
      </c>
      <c r="B111" t="s">
        <v>22</v>
      </c>
      <c r="C111" t="s">
        <v>42</v>
      </c>
      <c r="D111" t="s">
        <v>27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 t="s">
        <v>241</v>
      </c>
      <c r="B112" t="s">
        <v>22</v>
      </c>
      <c r="C112" t="s">
        <v>42</v>
      </c>
      <c r="D112" t="s">
        <v>28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 t="s">
        <v>242</v>
      </c>
      <c r="B113" t="s">
        <v>22</v>
      </c>
      <c r="C113" t="s">
        <v>42</v>
      </c>
      <c r="D113" t="s">
        <v>29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 t="s">
        <v>243</v>
      </c>
      <c r="B114" t="s">
        <v>22</v>
      </c>
      <c r="C114" t="s">
        <v>43</v>
      </c>
      <c r="D114" t="s">
        <v>24</v>
      </c>
      <c r="E114">
        <v>679.27641600000004</v>
      </c>
      <c r="F114">
        <v>675.83293600000002</v>
      </c>
      <c r="G114">
        <v>681.00370999999996</v>
      </c>
      <c r="H114">
        <v>672.38667899999996</v>
      </c>
      <c r="I114">
        <v>573.98646099999996</v>
      </c>
    </row>
    <row r="115" spans="1:9" x14ac:dyDescent="0.25">
      <c r="A115" t="s">
        <v>244</v>
      </c>
      <c r="B115" t="s">
        <v>22</v>
      </c>
      <c r="C115" t="s">
        <v>43</v>
      </c>
      <c r="D115" t="s">
        <v>25</v>
      </c>
    </row>
    <row r="116" spans="1:9" x14ac:dyDescent="0.25">
      <c r="A116" t="s">
        <v>245</v>
      </c>
      <c r="B116" t="s">
        <v>22</v>
      </c>
      <c r="C116" t="s">
        <v>43</v>
      </c>
      <c r="D116" t="s">
        <v>26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 t="s">
        <v>246</v>
      </c>
      <c r="B117" t="s">
        <v>22</v>
      </c>
      <c r="C117" t="s">
        <v>43</v>
      </c>
      <c r="D117" t="s">
        <v>27</v>
      </c>
    </row>
    <row r="118" spans="1:9" x14ac:dyDescent="0.25">
      <c r="A118" t="s">
        <v>247</v>
      </c>
      <c r="B118" t="s">
        <v>22</v>
      </c>
      <c r="C118" t="s">
        <v>43</v>
      </c>
      <c r="D118" t="s">
        <v>28</v>
      </c>
      <c r="E118">
        <v>510.59310499999998</v>
      </c>
      <c r="F118">
        <v>502.54258199999998</v>
      </c>
      <c r="G118">
        <v>511.07352600000002</v>
      </c>
      <c r="H118">
        <v>501.54286200000001</v>
      </c>
      <c r="I118">
        <v>223.49296000000001</v>
      </c>
    </row>
    <row r="119" spans="1:9" x14ac:dyDescent="0.25">
      <c r="A119" t="s">
        <v>248</v>
      </c>
      <c r="B119" t="s">
        <v>22</v>
      </c>
      <c r="C119" t="s">
        <v>43</v>
      </c>
      <c r="D119" t="s">
        <v>29</v>
      </c>
    </row>
    <row r="120" spans="1:9" x14ac:dyDescent="0.25">
      <c r="A120" t="s">
        <v>261</v>
      </c>
      <c r="B120" t="s">
        <v>44</v>
      </c>
      <c r="C120" t="s">
        <v>52</v>
      </c>
      <c r="D120" t="s">
        <v>53</v>
      </c>
      <c r="E120">
        <v>3849.56</v>
      </c>
      <c r="F120">
        <v>3849.56</v>
      </c>
      <c r="G120">
        <v>3849.56</v>
      </c>
      <c r="H120">
        <v>3849.56</v>
      </c>
      <c r="I120">
        <v>3849.56</v>
      </c>
    </row>
    <row r="121" spans="1:9" x14ac:dyDescent="0.25">
      <c r="A121" t="s">
        <v>262</v>
      </c>
      <c r="B121" t="s">
        <v>44</v>
      </c>
      <c r="C121" t="s">
        <v>54</v>
      </c>
      <c r="D121" t="s">
        <v>53</v>
      </c>
      <c r="E121">
        <v>3331.09</v>
      </c>
      <c r="F121">
        <v>3331.09</v>
      </c>
      <c r="G121">
        <v>3331.09</v>
      </c>
      <c r="H121">
        <v>3331.09</v>
      </c>
      <c r="I121">
        <v>3321.97</v>
      </c>
    </row>
    <row r="122" spans="1:9" x14ac:dyDescent="0.25">
      <c r="A122" t="s">
        <v>263</v>
      </c>
      <c r="B122" t="s">
        <v>44</v>
      </c>
      <c r="C122" t="s">
        <v>55</v>
      </c>
      <c r="D122" t="s">
        <v>53</v>
      </c>
      <c r="E122">
        <v>518.47</v>
      </c>
      <c r="F122">
        <v>518.47</v>
      </c>
      <c r="G122">
        <v>518.47</v>
      </c>
      <c r="H122">
        <v>518.47</v>
      </c>
      <c r="I122">
        <v>527.59</v>
      </c>
    </row>
    <row r="123" spans="1:9" x14ac:dyDescent="0.25">
      <c r="A123" t="s">
        <v>264</v>
      </c>
      <c r="B123" t="s">
        <v>44</v>
      </c>
      <c r="C123" t="s">
        <v>1</v>
      </c>
      <c r="D123" t="s">
        <v>56</v>
      </c>
      <c r="E123">
        <v>0</v>
      </c>
      <c r="F123">
        <v>0</v>
      </c>
      <c r="G123">
        <v>0</v>
      </c>
      <c r="H123">
        <v>0</v>
      </c>
      <c r="I123">
        <v>3.116E-2</v>
      </c>
    </row>
    <row r="124" spans="1:9" x14ac:dyDescent="0.25">
      <c r="A124" t="s">
        <v>265</v>
      </c>
      <c r="B124" t="s">
        <v>44</v>
      </c>
      <c r="C124" t="s">
        <v>1</v>
      </c>
      <c r="D124" t="s">
        <v>57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266</v>
      </c>
      <c r="B125" t="s">
        <v>44</v>
      </c>
      <c r="C125" t="s">
        <v>1</v>
      </c>
      <c r="D125" t="s">
        <v>58</v>
      </c>
      <c r="E125">
        <v>510.7373</v>
      </c>
      <c r="F125">
        <v>502.68432000000001</v>
      </c>
      <c r="G125">
        <v>511.21570000000003</v>
      </c>
      <c r="H125">
        <v>501.68371999999999</v>
      </c>
      <c r="I125">
        <v>223.55443</v>
      </c>
    </row>
    <row r="126" spans="1:9" x14ac:dyDescent="0.25">
      <c r="A126" t="s">
        <v>267</v>
      </c>
      <c r="B126" t="s">
        <v>44</v>
      </c>
      <c r="C126" t="s">
        <v>1</v>
      </c>
      <c r="D126" t="s">
        <v>59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268</v>
      </c>
      <c r="B127" t="s">
        <v>44</v>
      </c>
      <c r="C127" t="s">
        <v>1</v>
      </c>
      <c r="D127" t="s">
        <v>60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269</v>
      </c>
      <c r="B128" t="s">
        <v>44</v>
      </c>
      <c r="C128" t="s">
        <v>1</v>
      </c>
      <c r="D128" t="s">
        <v>61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270</v>
      </c>
      <c r="B129" t="s">
        <v>44</v>
      </c>
      <c r="C129" t="s">
        <v>2</v>
      </c>
      <c r="D129" t="s">
        <v>56</v>
      </c>
      <c r="E129">
        <v>111.73338</v>
      </c>
      <c r="F129">
        <v>110.28958</v>
      </c>
      <c r="G129">
        <v>112.37371</v>
      </c>
      <c r="H129">
        <v>109.49335000000001</v>
      </c>
      <c r="I129">
        <v>80.295640000000006</v>
      </c>
    </row>
    <row r="130" spans="1:9" x14ac:dyDescent="0.25">
      <c r="A130" t="s">
        <v>271</v>
      </c>
      <c r="B130" t="s">
        <v>44</v>
      </c>
      <c r="C130" t="s">
        <v>2</v>
      </c>
      <c r="D130" t="s">
        <v>57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272</v>
      </c>
      <c r="B131" t="s">
        <v>44</v>
      </c>
      <c r="C131" t="s">
        <v>2</v>
      </c>
      <c r="D131" t="s">
        <v>58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273</v>
      </c>
      <c r="B132" t="s">
        <v>44</v>
      </c>
      <c r="C132" t="s">
        <v>2</v>
      </c>
      <c r="D132" t="s">
        <v>59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274</v>
      </c>
      <c r="B133" t="s">
        <v>44</v>
      </c>
      <c r="C133" t="s">
        <v>2</v>
      </c>
      <c r="D133" t="s">
        <v>60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275</v>
      </c>
      <c r="B134" t="s">
        <v>44</v>
      </c>
      <c r="C134" t="s">
        <v>2</v>
      </c>
      <c r="D134" t="s">
        <v>61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276</v>
      </c>
      <c r="B135" t="s">
        <v>44</v>
      </c>
      <c r="C135" t="s">
        <v>23</v>
      </c>
      <c r="D135" t="s">
        <v>56</v>
      </c>
      <c r="E135">
        <v>113.86575000000001</v>
      </c>
      <c r="F135">
        <v>113.86575000000001</v>
      </c>
      <c r="G135">
        <v>113.86575000000001</v>
      </c>
      <c r="H135">
        <v>113.86575000000001</v>
      </c>
      <c r="I135">
        <v>89.372900000000001</v>
      </c>
    </row>
    <row r="136" spans="1:9" x14ac:dyDescent="0.25">
      <c r="A136" t="s">
        <v>277</v>
      </c>
      <c r="B136" t="s">
        <v>44</v>
      </c>
      <c r="C136" t="s">
        <v>23</v>
      </c>
      <c r="D136" t="s">
        <v>57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5">
      <c r="A137" t="s">
        <v>278</v>
      </c>
      <c r="B137" t="s">
        <v>44</v>
      </c>
      <c r="C137" t="s">
        <v>23</v>
      </c>
      <c r="D137" t="s">
        <v>58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279</v>
      </c>
      <c r="B138" t="s">
        <v>44</v>
      </c>
      <c r="C138" t="s">
        <v>23</v>
      </c>
      <c r="D138" t="s">
        <v>59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280</v>
      </c>
      <c r="B139" t="s">
        <v>44</v>
      </c>
      <c r="C139" t="s">
        <v>23</v>
      </c>
      <c r="D139" t="s">
        <v>60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 t="s">
        <v>281</v>
      </c>
      <c r="B140" t="s">
        <v>44</v>
      </c>
      <c r="C140" t="s">
        <v>23</v>
      </c>
      <c r="D140" t="s">
        <v>61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282</v>
      </c>
      <c r="B141" t="s">
        <v>44</v>
      </c>
      <c r="C141" t="s">
        <v>30</v>
      </c>
      <c r="D141" t="s">
        <v>56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5">
      <c r="A142" t="s">
        <v>283</v>
      </c>
      <c r="B142" t="s">
        <v>44</v>
      </c>
      <c r="C142" t="s">
        <v>30</v>
      </c>
      <c r="D142" t="s">
        <v>57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5">
      <c r="A143" t="s">
        <v>284</v>
      </c>
      <c r="B143" t="s">
        <v>44</v>
      </c>
      <c r="C143" t="s">
        <v>30</v>
      </c>
      <c r="D143" t="s">
        <v>58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 t="s">
        <v>285</v>
      </c>
      <c r="B144" t="s">
        <v>44</v>
      </c>
      <c r="C144" t="s">
        <v>30</v>
      </c>
      <c r="D144" t="s">
        <v>59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5">
      <c r="A145" t="s">
        <v>286</v>
      </c>
      <c r="B145" t="s">
        <v>44</v>
      </c>
      <c r="C145" t="s">
        <v>30</v>
      </c>
      <c r="D145" t="s">
        <v>60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5">
      <c r="A146" t="s">
        <v>287</v>
      </c>
      <c r="B146" t="s">
        <v>44</v>
      </c>
      <c r="C146" t="s">
        <v>30</v>
      </c>
      <c r="D146" t="s">
        <v>61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5">
      <c r="A147" t="s">
        <v>288</v>
      </c>
      <c r="B147" t="s">
        <v>44</v>
      </c>
      <c r="C147" t="s">
        <v>62</v>
      </c>
      <c r="D147" t="s">
        <v>56</v>
      </c>
      <c r="E147">
        <v>148.38779</v>
      </c>
      <c r="F147">
        <v>148.38779</v>
      </c>
      <c r="G147">
        <v>148.38779</v>
      </c>
      <c r="H147">
        <v>148.38779</v>
      </c>
      <c r="I147">
        <v>149.86461</v>
      </c>
    </row>
    <row r="148" spans="1:9" x14ac:dyDescent="0.25">
      <c r="A148" t="s">
        <v>289</v>
      </c>
      <c r="B148" t="s">
        <v>44</v>
      </c>
      <c r="C148" t="s">
        <v>62</v>
      </c>
      <c r="D148" t="s">
        <v>57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 t="s">
        <v>290</v>
      </c>
      <c r="B149" t="s">
        <v>44</v>
      </c>
      <c r="C149" t="s">
        <v>62</v>
      </c>
      <c r="D149" t="s">
        <v>58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291</v>
      </c>
      <c r="B150" t="s">
        <v>44</v>
      </c>
      <c r="C150" t="s">
        <v>62</v>
      </c>
      <c r="D150" t="s">
        <v>59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5">
      <c r="A151" t="s">
        <v>292</v>
      </c>
      <c r="B151" t="s">
        <v>44</v>
      </c>
      <c r="C151" t="s">
        <v>62</v>
      </c>
      <c r="D151" t="s">
        <v>60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t="s">
        <v>293</v>
      </c>
      <c r="B152" t="s">
        <v>44</v>
      </c>
      <c r="C152" t="s">
        <v>62</v>
      </c>
      <c r="D152" t="s">
        <v>61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294</v>
      </c>
      <c r="B153" t="s">
        <v>44</v>
      </c>
      <c r="C153" t="s">
        <v>63</v>
      </c>
      <c r="D153" t="s">
        <v>56</v>
      </c>
      <c r="E153">
        <v>14.6952</v>
      </c>
      <c r="F153">
        <v>14.6952</v>
      </c>
      <c r="G153">
        <v>14.6952</v>
      </c>
      <c r="H153">
        <v>14.6952</v>
      </c>
      <c r="I153">
        <v>14.6952</v>
      </c>
    </row>
    <row r="154" spans="1:9" x14ac:dyDescent="0.25">
      <c r="A154" t="s">
        <v>295</v>
      </c>
      <c r="B154" t="s">
        <v>44</v>
      </c>
      <c r="C154" t="s">
        <v>63</v>
      </c>
      <c r="D154" t="s">
        <v>57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t="s">
        <v>296</v>
      </c>
      <c r="B155" t="s">
        <v>44</v>
      </c>
      <c r="C155" t="s">
        <v>63</v>
      </c>
      <c r="D155" t="s">
        <v>58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297</v>
      </c>
      <c r="B156" t="s">
        <v>44</v>
      </c>
      <c r="C156" t="s">
        <v>63</v>
      </c>
      <c r="D156" t="s">
        <v>59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298</v>
      </c>
      <c r="B157" t="s">
        <v>44</v>
      </c>
      <c r="C157" t="s">
        <v>63</v>
      </c>
      <c r="D157" t="s">
        <v>60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299</v>
      </c>
      <c r="B158" t="s">
        <v>44</v>
      </c>
      <c r="C158" t="s">
        <v>63</v>
      </c>
      <c r="D158" t="s">
        <v>61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300</v>
      </c>
      <c r="B159" t="s">
        <v>44</v>
      </c>
      <c r="C159" t="s">
        <v>4</v>
      </c>
      <c r="D159" t="s">
        <v>56</v>
      </c>
      <c r="E159">
        <v>203.37814</v>
      </c>
      <c r="F159">
        <v>201.43996000000001</v>
      </c>
      <c r="G159">
        <v>204.43817000000001</v>
      </c>
      <c r="H159">
        <v>198.78769</v>
      </c>
      <c r="I159">
        <v>156.27489</v>
      </c>
    </row>
    <row r="160" spans="1:9" x14ac:dyDescent="0.25">
      <c r="A160" t="s">
        <v>301</v>
      </c>
      <c r="B160" t="s">
        <v>44</v>
      </c>
      <c r="C160" t="s">
        <v>4</v>
      </c>
      <c r="D160" t="s">
        <v>57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302</v>
      </c>
      <c r="B161" t="s">
        <v>44</v>
      </c>
      <c r="C161" t="s">
        <v>4</v>
      </c>
      <c r="D161" t="s">
        <v>58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303</v>
      </c>
      <c r="B162" t="s">
        <v>44</v>
      </c>
      <c r="C162" t="s">
        <v>4</v>
      </c>
      <c r="D162" t="s">
        <v>59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304</v>
      </c>
      <c r="B163" t="s">
        <v>44</v>
      </c>
      <c r="C163" t="s">
        <v>4</v>
      </c>
      <c r="D163" t="s">
        <v>60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305</v>
      </c>
      <c r="B164" t="s">
        <v>44</v>
      </c>
      <c r="C164" t="s">
        <v>4</v>
      </c>
      <c r="D164" t="s">
        <v>61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t="s">
        <v>306</v>
      </c>
      <c r="B165" t="s">
        <v>44</v>
      </c>
      <c r="C165" t="s">
        <v>3</v>
      </c>
      <c r="D165" t="s">
        <v>56</v>
      </c>
      <c r="E165">
        <v>5.5252800000000004</v>
      </c>
      <c r="F165">
        <v>5.4615</v>
      </c>
      <c r="G165">
        <v>5.55246</v>
      </c>
      <c r="H165">
        <v>5.4654699999999998</v>
      </c>
      <c r="I165">
        <v>1.7333000000000001</v>
      </c>
    </row>
    <row r="166" spans="1:9" x14ac:dyDescent="0.25">
      <c r="A166" t="s">
        <v>307</v>
      </c>
      <c r="B166" t="s">
        <v>44</v>
      </c>
      <c r="C166" t="s">
        <v>3</v>
      </c>
      <c r="D166" t="s">
        <v>57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t="s">
        <v>308</v>
      </c>
      <c r="B167" t="s">
        <v>44</v>
      </c>
      <c r="C167" t="s">
        <v>3</v>
      </c>
      <c r="D167" t="s">
        <v>58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t="s">
        <v>309</v>
      </c>
      <c r="B168" t="s">
        <v>44</v>
      </c>
      <c r="C168" t="s">
        <v>3</v>
      </c>
      <c r="D168" t="s">
        <v>59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5">
      <c r="A169" t="s">
        <v>310</v>
      </c>
      <c r="B169" t="s">
        <v>44</v>
      </c>
      <c r="C169" t="s">
        <v>3</v>
      </c>
      <c r="D169" t="s">
        <v>60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t="s">
        <v>311</v>
      </c>
      <c r="B170" t="s">
        <v>44</v>
      </c>
      <c r="C170" t="s">
        <v>3</v>
      </c>
      <c r="D170" t="s">
        <v>61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312</v>
      </c>
      <c r="B171" t="s">
        <v>44</v>
      </c>
      <c r="C171" t="s">
        <v>33</v>
      </c>
      <c r="D171" t="s">
        <v>56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t="s">
        <v>313</v>
      </c>
      <c r="B172" t="s">
        <v>44</v>
      </c>
      <c r="C172" t="s">
        <v>33</v>
      </c>
      <c r="D172" t="s">
        <v>57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314</v>
      </c>
      <c r="B173" t="s">
        <v>44</v>
      </c>
      <c r="C173" t="s">
        <v>33</v>
      </c>
      <c r="D173" t="s">
        <v>58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315</v>
      </c>
      <c r="B174" t="s">
        <v>44</v>
      </c>
      <c r="C174" t="s">
        <v>33</v>
      </c>
      <c r="D174" t="s">
        <v>59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316</v>
      </c>
      <c r="B175" t="s">
        <v>44</v>
      </c>
      <c r="C175" t="s">
        <v>33</v>
      </c>
      <c r="D175" t="s">
        <v>60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317</v>
      </c>
      <c r="B176" t="s">
        <v>44</v>
      </c>
      <c r="C176" t="s">
        <v>33</v>
      </c>
      <c r="D176" t="s">
        <v>61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318</v>
      </c>
      <c r="B177" t="s">
        <v>44</v>
      </c>
      <c r="C177" t="s">
        <v>64</v>
      </c>
      <c r="D177" t="s">
        <v>56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319</v>
      </c>
      <c r="B178" t="s">
        <v>44</v>
      </c>
      <c r="C178" t="s">
        <v>64</v>
      </c>
      <c r="D178" t="s">
        <v>57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320</v>
      </c>
      <c r="B179" t="s">
        <v>44</v>
      </c>
      <c r="C179" t="s">
        <v>64</v>
      </c>
      <c r="D179" t="s">
        <v>58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321</v>
      </c>
      <c r="B180" t="s">
        <v>44</v>
      </c>
      <c r="C180" t="s">
        <v>64</v>
      </c>
      <c r="D180" t="s">
        <v>59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322</v>
      </c>
      <c r="B181" t="s">
        <v>44</v>
      </c>
      <c r="C181" t="s">
        <v>64</v>
      </c>
      <c r="D181" t="s">
        <v>60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323</v>
      </c>
      <c r="B182" t="s">
        <v>44</v>
      </c>
      <c r="C182" t="s">
        <v>64</v>
      </c>
      <c r="D182" t="s">
        <v>61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324</v>
      </c>
      <c r="B183" t="s">
        <v>44</v>
      </c>
      <c r="C183" t="s">
        <v>65</v>
      </c>
      <c r="D183" t="s">
        <v>56</v>
      </c>
      <c r="E183">
        <v>0.32300000000000001</v>
      </c>
      <c r="F183">
        <v>0.32300000000000001</v>
      </c>
      <c r="G183">
        <v>0.32300000000000001</v>
      </c>
      <c r="H183">
        <v>0.32300000000000001</v>
      </c>
      <c r="I183">
        <v>0.32300000000000001</v>
      </c>
    </row>
    <row r="184" spans="1:9" x14ac:dyDescent="0.25">
      <c r="A184" t="s">
        <v>325</v>
      </c>
      <c r="B184" t="s">
        <v>44</v>
      </c>
      <c r="C184" t="s">
        <v>65</v>
      </c>
      <c r="D184" t="s">
        <v>57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 t="s">
        <v>326</v>
      </c>
      <c r="B185" t="s">
        <v>44</v>
      </c>
      <c r="C185" t="s">
        <v>65</v>
      </c>
      <c r="D185" t="s">
        <v>58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327</v>
      </c>
      <c r="B186" t="s">
        <v>44</v>
      </c>
      <c r="C186" t="s">
        <v>65</v>
      </c>
      <c r="D186" t="s">
        <v>59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328</v>
      </c>
      <c r="B187" t="s">
        <v>44</v>
      </c>
      <c r="C187" t="s">
        <v>65</v>
      </c>
      <c r="D187" t="s">
        <v>60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t="s">
        <v>329</v>
      </c>
      <c r="B188" t="s">
        <v>44</v>
      </c>
      <c r="C188" t="s">
        <v>65</v>
      </c>
      <c r="D188" t="s">
        <v>61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5">
      <c r="A189" t="s">
        <v>330</v>
      </c>
      <c r="B189" t="s">
        <v>44</v>
      </c>
      <c r="C189" t="s">
        <v>66</v>
      </c>
      <c r="D189" t="s">
        <v>56</v>
      </c>
      <c r="E189">
        <v>81.557839999999999</v>
      </c>
      <c r="F189">
        <v>81.558340000000001</v>
      </c>
      <c r="G189">
        <v>81.558670000000006</v>
      </c>
      <c r="H189">
        <v>81.558080000000004</v>
      </c>
      <c r="I189">
        <v>81.556939999999997</v>
      </c>
    </row>
    <row r="190" spans="1:9" x14ac:dyDescent="0.25">
      <c r="A190" t="s">
        <v>331</v>
      </c>
      <c r="B190" t="s">
        <v>44</v>
      </c>
      <c r="C190" t="s">
        <v>66</v>
      </c>
      <c r="D190" t="s">
        <v>57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 t="s">
        <v>332</v>
      </c>
      <c r="B191" t="s">
        <v>44</v>
      </c>
      <c r="C191" t="s">
        <v>66</v>
      </c>
      <c r="D191" t="s">
        <v>58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5">
      <c r="A192" t="s">
        <v>333</v>
      </c>
      <c r="B192" t="s">
        <v>44</v>
      </c>
      <c r="C192" t="s">
        <v>66</v>
      </c>
      <c r="D192" t="s">
        <v>59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5">
      <c r="A193" t="s">
        <v>334</v>
      </c>
      <c r="B193" t="s">
        <v>44</v>
      </c>
      <c r="C193" t="s">
        <v>66</v>
      </c>
      <c r="D193" t="s">
        <v>60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 t="s">
        <v>335</v>
      </c>
      <c r="B194" t="s">
        <v>44</v>
      </c>
      <c r="C194" t="s">
        <v>66</v>
      </c>
      <c r="D194" t="s">
        <v>61</v>
      </c>
      <c r="E194">
        <v>1263.5999999999999</v>
      </c>
      <c r="F194">
        <v>1263.5999999999999</v>
      </c>
      <c r="G194">
        <v>1263.5999999999999</v>
      </c>
      <c r="H194">
        <v>1263.5999999999999</v>
      </c>
      <c r="I194">
        <v>1263.5999999999999</v>
      </c>
    </row>
    <row r="195" spans="1:9" x14ac:dyDescent="0.25">
      <c r="A195" t="s">
        <v>336</v>
      </c>
      <c r="B195" t="s">
        <v>44</v>
      </c>
      <c r="C195" t="s">
        <v>67</v>
      </c>
      <c r="D195" t="s">
        <v>56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 t="s">
        <v>337</v>
      </c>
      <c r="B196" t="s">
        <v>44</v>
      </c>
      <c r="C196" t="s">
        <v>67</v>
      </c>
      <c r="D196" t="s">
        <v>57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t="s">
        <v>338</v>
      </c>
      <c r="B197" t="s">
        <v>44</v>
      </c>
      <c r="C197" t="s">
        <v>67</v>
      </c>
      <c r="D197" t="s">
        <v>58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 t="s">
        <v>339</v>
      </c>
      <c r="B198" t="s">
        <v>44</v>
      </c>
      <c r="C198" t="s">
        <v>67</v>
      </c>
      <c r="D198" t="s">
        <v>59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 t="s">
        <v>340</v>
      </c>
      <c r="B199" t="s">
        <v>44</v>
      </c>
      <c r="C199" t="s">
        <v>67</v>
      </c>
      <c r="D199" t="s">
        <v>60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 t="s">
        <v>341</v>
      </c>
      <c r="B200" t="s">
        <v>44</v>
      </c>
      <c r="C200" t="s">
        <v>67</v>
      </c>
      <c r="D200" t="s">
        <v>61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t="s">
        <v>342</v>
      </c>
      <c r="B201" t="s">
        <v>44</v>
      </c>
      <c r="C201" t="s">
        <v>68</v>
      </c>
      <c r="D201" t="s">
        <v>56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5">
      <c r="A202" t="s">
        <v>343</v>
      </c>
      <c r="B202" t="s">
        <v>44</v>
      </c>
      <c r="C202" t="s">
        <v>68</v>
      </c>
      <c r="D202" t="s">
        <v>57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5">
      <c r="A203" t="s">
        <v>344</v>
      </c>
      <c r="B203" t="s">
        <v>44</v>
      </c>
      <c r="C203" t="s">
        <v>68</v>
      </c>
      <c r="D203" t="s">
        <v>58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 t="s">
        <v>345</v>
      </c>
      <c r="B204" t="s">
        <v>44</v>
      </c>
      <c r="C204" t="s">
        <v>68</v>
      </c>
      <c r="D204" t="s">
        <v>59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t="s">
        <v>346</v>
      </c>
      <c r="B205" t="s">
        <v>44</v>
      </c>
      <c r="C205" t="s">
        <v>68</v>
      </c>
      <c r="D205" t="s">
        <v>60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 t="s">
        <v>347</v>
      </c>
      <c r="B206" t="s">
        <v>44</v>
      </c>
      <c r="C206" t="s">
        <v>68</v>
      </c>
      <c r="D206" t="s">
        <v>61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t="s">
        <v>348</v>
      </c>
      <c r="B207" t="s">
        <v>44</v>
      </c>
      <c r="D207" t="s">
        <v>56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5">
      <c r="A208" t="s">
        <v>349</v>
      </c>
      <c r="B208" t="s">
        <v>44</v>
      </c>
      <c r="D208" t="s">
        <v>57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 t="s">
        <v>350</v>
      </c>
      <c r="B209" t="s">
        <v>44</v>
      </c>
      <c r="D209" t="s">
        <v>58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t="s">
        <v>351</v>
      </c>
      <c r="B210" t="s">
        <v>44</v>
      </c>
      <c r="D210" t="s">
        <v>59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 t="s">
        <v>352</v>
      </c>
      <c r="B211" t="s">
        <v>44</v>
      </c>
      <c r="D211" t="s">
        <v>60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t="s">
        <v>353</v>
      </c>
      <c r="B212" t="s">
        <v>44</v>
      </c>
      <c r="D212" t="s">
        <v>61</v>
      </c>
    </row>
    <row r="213" spans="1:9" x14ac:dyDescent="0.25">
      <c r="A213" t="s">
        <v>354</v>
      </c>
      <c r="B213" t="s">
        <v>44</v>
      </c>
      <c r="C213" t="s">
        <v>69</v>
      </c>
      <c r="D213" t="s">
        <v>56</v>
      </c>
      <c r="E213">
        <v>679.46637999999996</v>
      </c>
      <c r="F213">
        <v>676.02112999999997</v>
      </c>
      <c r="G213">
        <v>681.19475</v>
      </c>
      <c r="H213">
        <v>672.57632000000001</v>
      </c>
      <c r="I213">
        <v>574.14764000000002</v>
      </c>
    </row>
    <row r="214" spans="1:9" x14ac:dyDescent="0.25">
      <c r="A214" t="s">
        <v>355</v>
      </c>
      <c r="B214" t="s">
        <v>44</v>
      </c>
      <c r="C214" t="s">
        <v>69</v>
      </c>
      <c r="D214" t="s">
        <v>57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t="s">
        <v>356</v>
      </c>
      <c r="B215" t="s">
        <v>44</v>
      </c>
      <c r="C215" t="s">
        <v>69</v>
      </c>
      <c r="D215" t="s">
        <v>58</v>
      </c>
      <c r="E215">
        <v>510.7373</v>
      </c>
      <c r="F215">
        <v>502.68432000000001</v>
      </c>
      <c r="G215">
        <v>511.21570000000003</v>
      </c>
      <c r="H215">
        <v>501.68371999999999</v>
      </c>
      <c r="I215">
        <v>223.55443</v>
      </c>
    </row>
    <row r="216" spans="1:9" x14ac:dyDescent="0.25">
      <c r="A216" t="s">
        <v>357</v>
      </c>
      <c r="B216" t="s">
        <v>44</v>
      </c>
      <c r="C216" t="s">
        <v>69</v>
      </c>
      <c r="D216" t="s">
        <v>59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5">
      <c r="A217" t="s">
        <v>358</v>
      </c>
      <c r="B217" t="s">
        <v>44</v>
      </c>
      <c r="C217" t="s">
        <v>69</v>
      </c>
      <c r="D217" t="s">
        <v>60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5">
      <c r="A218" t="s">
        <v>359</v>
      </c>
      <c r="B218" t="s">
        <v>44</v>
      </c>
      <c r="C218" t="s">
        <v>69</v>
      </c>
      <c r="D218" t="s">
        <v>61</v>
      </c>
      <c r="E218">
        <v>1263.5999999999999</v>
      </c>
      <c r="F218">
        <v>1263.5999999999999</v>
      </c>
      <c r="G218">
        <v>1263.5999999999999</v>
      </c>
      <c r="H218">
        <v>1263.5999999999999</v>
      </c>
      <c r="I218">
        <v>1263.5999999999999</v>
      </c>
    </row>
    <row r="219" spans="1:9" x14ac:dyDescent="0.25">
      <c r="A219" t="s">
        <v>360</v>
      </c>
      <c r="B219" t="s">
        <v>44</v>
      </c>
      <c r="C219" t="s">
        <v>70</v>
      </c>
      <c r="D219" t="s">
        <v>71</v>
      </c>
      <c r="E219">
        <v>117</v>
      </c>
      <c r="F219">
        <v>117.5</v>
      </c>
      <c r="G219">
        <v>105</v>
      </c>
      <c r="H219">
        <v>133.5</v>
      </c>
      <c r="I219">
        <v>64</v>
      </c>
    </row>
    <row r="220" spans="1:9" x14ac:dyDescent="0.25">
      <c r="A220" t="s">
        <v>361</v>
      </c>
      <c r="B220" t="s">
        <v>44</v>
      </c>
      <c r="C220" t="s">
        <v>72</v>
      </c>
      <c r="D220" t="s">
        <v>71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 t="s">
        <v>362</v>
      </c>
      <c r="B221" t="s">
        <v>44</v>
      </c>
      <c r="C221" t="s">
        <v>73</v>
      </c>
      <c r="D221" t="s">
        <v>71</v>
      </c>
      <c r="E221">
        <v>3147</v>
      </c>
      <c r="F221">
        <v>3159.5</v>
      </c>
      <c r="G221">
        <v>3138.5</v>
      </c>
      <c r="H221">
        <v>3158</v>
      </c>
      <c r="I221">
        <v>2705.5</v>
      </c>
    </row>
    <row r="222" spans="1:9" x14ac:dyDescent="0.25">
      <c r="A222" t="s">
        <v>363</v>
      </c>
      <c r="B222" t="s">
        <v>9</v>
      </c>
      <c r="C222" t="s">
        <v>74</v>
      </c>
      <c r="D222" t="s">
        <v>75</v>
      </c>
      <c r="E222">
        <v>2143.9699999999998</v>
      </c>
      <c r="F222">
        <v>2143.9699999999998</v>
      </c>
      <c r="G222">
        <v>2143.9699999999998</v>
      </c>
      <c r="H222">
        <v>2143.9699999999998</v>
      </c>
      <c r="I222">
        <v>2143.9699999999998</v>
      </c>
    </row>
    <row r="223" spans="1:9" x14ac:dyDescent="0.25">
      <c r="A223" t="s">
        <v>364</v>
      </c>
      <c r="B223" t="s">
        <v>9</v>
      </c>
      <c r="C223" t="s">
        <v>74</v>
      </c>
      <c r="D223" t="s">
        <v>76</v>
      </c>
      <c r="E223">
        <v>405.68</v>
      </c>
      <c r="F223">
        <v>663.6</v>
      </c>
      <c r="G223">
        <v>412.33</v>
      </c>
      <c r="H223">
        <v>662.37</v>
      </c>
      <c r="I223">
        <v>405.68</v>
      </c>
    </row>
    <row r="224" spans="1:9" x14ac:dyDescent="0.25">
      <c r="A224" t="s">
        <v>365</v>
      </c>
      <c r="B224" t="s">
        <v>9</v>
      </c>
      <c r="C224" t="s">
        <v>74</v>
      </c>
      <c r="D224" t="s">
        <v>77</v>
      </c>
      <c r="E224">
        <v>662.37</v>
      </c>
      <c r="F224">
        <v>405.68</v>
      </c>
      <c r="G224">
        <v>663.6</v>
      </c>
      <c r="H224">
        <v>412.33</v>
      </c>
      <c r="I224">
        <v>662.37</v>
      </c>
    </row>
    <row r="225" spans="1:9" x14ac:dyDescent="0.25">
      <c r="A225" t="s">
        <v>366</v>
      </c>
      <c r="B225" t="s">
        <v>9</v>
      </c>
      <c r="C225" t="s">
        <v>74</v>
      </c>
      <c r="D225" t="s">
        <v>78</v>
      </c>
      <c r="E225">
        <v>412.33</v>
      </c>
      <c r="F225">
        <v>662.37</v>
      </c>
      <c r="G225">
        <v>405.68</v>
      </c>
      <c r="H225">
        <v>663.6</v>
      </c>
      <c r="I225">
        <v>412.33</v>
      </c>
    </row>
    <row r="226" spans="1:9" x14ac:dyDescent="0.25">
      <c r="A226" t="s">
        <v>367</v>
      </c>
      <c r="B226" t="s">
        <v>9</v>
      </c>
      <c r="C226" t="s">
        <v>74</v>
      </c>
      <c r="D226" t="s">
        <v>79</v>
      </c>
      <c r="E226">
        <v>663.6</v>
      </c>
      <c r="F226">
        <v>412.33</v>
      </c>
      <c r="G226">
        <v>662.37</v>
      </c>
      <c r="H226">
        <v>405.68</v>
      </c>
      <c r="I226">
        <v>663.6</v>
      </c>
    </row>
    <row r="227" spans="1:9" x14ac:dyDescent="0.25">
      <c r="A227" t="s">
        <v>368</v>
      </c>
      <c r="B227" t="s">
        <v>9</v>
      </c>
      <c r="C227" t="s">
        <v>369</v>
      </c>
      <c r="D227" t="s">
        <v>75</v>
      </c>
      <c r="E227">
        <v>2143.9699999999998</v>
      </c>
      <c r="F227">
        <v>2143.9699999999998</v>
      </c>
      <c r="G227">
        <v>2143.9699999999998</v>
      </c>
      <c r="H227">
        <v>2143.9699999999998</v>
      </c>
      <c r="I227">
        <v>2143.9699999999998</v>
      </c>
    </row>
    <row r="228" spans="1:9" x14ac:dyDescent="0.25">
      <c r="A228" t="s">
        <v>370</v>
      </c>
      <c r="B228" t="s">
        <v>9</v>
      </c>
      <c r="C228" t="s">
        <v>369</v>
      </c>
      <c r="D228" t="s">
        <v>76</v>
      </c>
      <c r="E228">
        <v>405.68</v>
      </c>
      <c r="F228">
        <v>663.6</v>
      </c>
      <c r="G228">
        <v>412.33</v>
      </c>
      <c r="H228">
        <v>662.37</v>
      </c>
      <c r="I228">
        <v>405.68</v>
      </c>
    </row>
    <row r="229" spans="1:9" x14ac:dyDescent="0.25">
      <c r="A229" t="s">
        <v>371</v>
      </c>
      <c r="B229" t="s">
        <v>9</v>
      </c>
      <c r="C229" t="s">
        <v>369</v>
      </c>
      <c r="D229" t="s">
        <v>77</v>
      </c>
      <c r="E229">
        <v>662.37</v>
      </c>
      <c r="F229">
        <v>405.68</v>
      </c>
      <c r="G229">
        <v>663.6</v>
      </c>
      <c r="H229">
        <v>412.33</v>
      </c>
      <c r="I229">
        <v>662.37</v>
      </c>
    </row>
    <row r="230" spans="1:9" x14ac:dyDescent="0.25">
      <c r="A230" t="s">
        <v>372</v>
      </c>
      <c r="B230" t="s">
        <v>9</v>
      </c>
      <c r="C230" t="s">
        <v>369</v>
      </c>
      <c r="D230" t="s">
        <v>78</v>
      </c>
      <c r="E230">
        <v>412.33</v>
      </c>
      <c r="F230">
        <v>662.37</v>
      </c>
      <c r="G230">
        <v>405.68</v>
      </c>
      <c r="H230">
        <v>663.6</v>
      </c>
      <c r="I230">
        <v>412.33</v>
      </c>
    </row>
    <row r="231" spans="1:9" x14ac:dyDescent="0.25">
      <c r="A231" t="s">
        <v>373</v>
      </c>
      <c r="B231" t="s">
        <v>9</v>
      </c>
      <c r="C231" t="s">
        <v>369</v>
      </c>
      <c r="D231" t="s">
        <v>79</v>
      </c>
      <c r="E231">
        <v>663.6</v>
      </c>
      <c r="F231">
        <v>412.33</v>
      </c>
      <c r="G231">
        <v>662.37</v>
      </c>
      <c r="H231">
        <v>405.68</v>
      </c>
      <c r="I231">
        <v>663.6</v>
      </c>
    </row>
    <row r="232" spans="1:9" x14ac:dyDescent="0.25">
      <c r="A232" t="s">
        <v>374</v>
      </c>
      <c r="B232" t="s">
        <v>9</v>
      </c>
      <c r="C232" t="s">
        <v>80</v>
      </c>
      <c r="D232" t="s">
        <v>75</v>
      </c>
      <c r="E232">
        <v>849.16</v>
      </c>
      <c r="F232">
        <v>849.16</v>
      </c>
      <c r="G232">
        <v>849.16</v>
      </c>
      <c r="H232">
        <v>849.16</v>
      </c>
      <c r="I232">
        <v>1208.02</v>
      </c>
    </row>
    <row r="233" spans="1:9" x14ac:dyDescent="0.25">
      <c r="A233" t="s">
        <v>375</v>
      </c>
      <c r="B233" t="s">
        <v>9</v>
      </c>
      <c r="C233" t="s">
        <v>80</v>
      </c>
      <c r="D233" t="s">
        <v>76</v>
      </c>
      <c r="E233">
        <v>160.29</v>
      </c>
      <c r="F233">
        <v>261.67</v>
      </c>
      <c r="G233">
        <v>162.84</v>
      </c>
      <c r="H233">
        <v>264.36</v>
      </c>
      <c r="I233">
        <v>234.77</v>
      </c>
    </row>
    <row r="234" spans="1:9" x14ac:dyDescent="0.25">
      <c r="A234" t="s">
        <v>376</v>
      </c>
      <c r="B234" t="s">
        <v>9</v>
      </c>
      <c r="C234" t="s">
        <v>80</v>
      </c>
      <c r="D234" t="s">
        <v>77</v>
      </c>
      <c r="E234">
        <v>264.36</v>
      </c>
      <c r="F234">
        <v>160.29</v>
      </c>
      <c r="G234">
        <v>261.67</v>
      </c>
      <c r="H234">
        <v>162.84</v>
      </c>
      <c r="I234">
        <v>370.76</v>
      </c>
    </row>
    <row r="235" spans="1:9" x14ac:dyDescent="0.25">
      <c r="A235" t="s">
        <v>377</v>
      </c>
      <c r="B235" t="s">
        <v>9</v>
      </c>
      <c r="C235" t="s">
        <v>80</v>
      </c>
      <c r="D235" t="s">
        <v>78</v>
      </c>
      <c r="E235">
        <v>162.84</v>
      </c>
      <c r="F235">
        <v>264.36</v>
      </c>
      <c r="G235">
        <v>160.29</v>
      </c>
      <c r="H235">
        <v>261.67</v>
      </c>
      <c r="I235">
        <v>254.9</v>
      </c>
    </row>
    <row r="236" spans="1:9" x14ac:dyDescent="0.25">
      <c r="A236" t="s">
        <v>378</v>
      </c>
      <c r="B236" t="s">
        <v>9</v>
      </c>
      <c r="C236" t="s">
        <v>80</v>
      </c>
      <c r="D236" t="s">
        <v>79</v>
      </c>
      <c r="E236">
        <v>261.67</v>
      </c>
      <c r="F236">
        <v>162.84</v>
      </c>
      <c r="G236">
        <v>264.36</v>
      </c>
      <c r="H236">
        <v>160.29</v>
      </c>
      <c r="I236">
        <v>347.59</v>
      </c>
    </row>
    <row r="237" spans="1:9" x14ac:dyDescent="0.25">
      <c r="A237" t="s">
        <v>379</v>
      </c>
      <c r="B237" t="s">
        <v>9</v>
      </c>
      <c r="C237" t="s">
        <v>380</v>
      </c>
      <c r="D237" t="s">
        <v>75</v>
      </c>
      <c r="E237">
        <v>39.61</v>
      </c>
      <c r="F237">
        <v>39.61</v>
      </c>
      <c r="G237">
        <v>39.61</v>
      </c>
      <c r="H237">
        <v>39.61</v>
      </c>
      <c r="I237">
        <v>56.34</v>
      </c>
    </row>
    <row r="238" spans="1:9" x14ac:dyDescent="0.25">
      <c r="A238" t="s">
        <v>381</v>
      </c>
      <c r="B238" t="s">
        <v>9</v>
      </c>
      <c r="C238" t="s">
        <v>380</v>
      </c>
      <c r="D238" t="s">
        <v>76</v>
      </c>
      <c r="E238">
        <v>39.51</v>
      </c>
      <c r="F238">
        <v>39.43</v>
      </c>
      <c r="G238">
        <v>39.49</v>
      </c>
      <c r="H238">
        <v>39.909999999999997</v>
      </c>
      <c r="I238">
        <v>57.87</v>
      </c>
    </row>
    <row r="239" spans="1:9" x14ac:dyDescent="0.25">
      <c r="A239" t="s">
        <v>382</v>
      </c>
      <c r="B239" t="s">
        <v>9</v>
      </c>
      <c r="C239" t="s">
        <v>380</v>
      </c>
      <c r="D239" t="s">
        <v>77</v>
      </c>
      <c r="E239">
        <v>39.909999999999997</v>
      </c>
      <c r="F239">
        <v>39.51</v>
      </c>
      <c r="G239">
        <v>39.43</v>
      </c>
      <c r="H239">
        <v>39.49</v>
      </c>
      <c r="I239">
        <v>55.97</v>
      </c>
    </row>
    <row r="240" spans="1:9" x14ac:dyDescent="0.25">
      <c r="A240" t="s">
        <v>383</v>
      </c>
      <c r="B240" t="s">
        <v>9</v>
      </c>
      <c r="C240" t="s">
        <v>380</v>
      </c>
      <c r="D240" t="s">
        <v>78</v>
      </c>
      <c r="E240">
        <v>39.49</v>
      </c>
      <c r="F240">
        <v>39.909999999999997</v>
      </c>
      <c r="G240">
        <v>39.51</v>
      </c>
      <c r="H240">
        <v>39.43</v>
      </c>
      <c r="I240">
        <v>61.82</v>
      </c>
    </row>
    <row r="241" spans="1:9" x14ac:dyDescent="0.25">
      <c r="A241" t="s">
        <v>384</v>
      </c>
      <c r="B241" t="s">
        <v>9</v>
      </c>
      <c r="C241" t="s">
        <v>380</v>
      </c>
      <c r="D241" t="s">
        <v>79</v>
      </c>
      <c r="E241">
        <v>39.43</v>
      </c>
      <c r="F241">
        <v>39.49</v>
      </c>
      <c r="G241">
        <v>39.909999999999997</v>
      </c>
      <c r="H241">
        <v>39.51</v>
      </c>
      <c r="I241">
        <v>52.38</v>
      </c>
    </row>
    <row r="242" spans="1:9" x14ac:dyDescent="0.25">
      <c r="A242" t="s">
        <v>385</v>
      </c>
      <c r="B242" t="s">
        <v>9</v>
      </c>
      <c r="C242" t="s">
        <v>386</v>
      </c>
      <c r="D242" t="s">
        <v>75</v>
      </c>
      <c r="E242">
        <v>39.61</v>
      </c>
      <c r="F242">
        <v>39.61</v>
      </c>
      <c r="G242">
        <v>39.61</v>
      </c>
      <c r="H242">
        <v>39.61</v>
      </c>
      <c r="I242">
        <v>56.34</v>
      </c>
    </row>
    <row r="243" spans="1:9" x14ac:dyDescent="0.25">
      <c r="A243" t="s">
        <v>387</v>
      </c>
      <c r="B243" t="s">
        <v>9</v>
      </c>
      <c r="C243" t="s">
        <v>386</v>
      </c>
      <c r="D243" t="s">
        <v>76</v>
      </c>
      <c r="E243">
        <v>39.51</v>
      </c>
      <c r="F243">
        <v>39.43</v>
      </c>
      <c r="G243">
        <v>39.49</v>
      </c>
      <c r="H243">
        <v>39.909999999999997</v>
      </c>
      <c r="I243">
        <v>57.87</v>
      </c>
    </row>
    <row r="244" spans="1:9" x14ac:dyDescent="0.25">
      <c r="A244" t="s">
        <v>388</v>
      </c>
      <c r="B244" t="s">
        <v>9</v>
      </c>
      <c r="C244" t="s">
        <v>386</v>
      </c>
      <c r="D244" t="s">
        <v>77</v>
      </c>
      <c r="E244">
        <v>39.909999999999997</v>
      </c>
      <c r="F244">
        <v>39.51</v>
      </c>
      <c r="G244">
        <v>39.43</v>
      </c>
      <c r="H244">
        <v>39.49</v>
      </c>
      <c r="I244">
        <v>55.97</v>
      </c>
    </row>
    <row r="245" spans="1:9" x14ac:dyDescent="0.25">
      <c r="A245" t="s">
        <v>389</v>
      </c>
      <c r="B245" t="s">
        <v>9</v>
      </c>
      <c r="C245" t="s">
        <v>386</v>
      </c>
      <c r="D245" t="s">
        <v>78</v>
      </c>
      <c r="E245">
        <v>39.49</v>
      </c>
      <c r="F245">
        <v>39.909999999999997</v>
      </c>
      <c r="G245">
        <v>39.51</v>
      </c>
      <c r="H245">
        <v>39.43</v>
      </c>
      <c r="I245">
        <v>61.82</v>
      </c>
    </row>
    <row r="246" spans="1:9" x14ac:dyDescent="0.25">
      <c r="A246" t="s">
        <v>390</v>
      </c>
      <c r="B246" t="s">
        <v>9</v>
      </c>
      <c r="C246" t="s">
        <v>386</v>
      </c>
      <c r="D246" t="s">
        <v>79</v>
      </c>
      <c r="E246">
        <v>39.43</v>
      </c>
      <c r="F246">
        <v>39.49</v>
      </c>
      <c r="G246">
        <v>39.909999999999997</v>
      </c>
      <c r="H246">
        <v>39.51</v>
      </c>
      <c r="I246">
        <v>52.38</v>
      </c>
    </row>
    <row r="247" spans="1:9" x14ac:dyDescent="0.25">
      <c r="A247" t="s">
        <v>407</v>
      </c>
      <c r="B247" t="s">
        <v>5</v>
      </c>
      <c r="C247" t="s">
        <v>81</v>
      </c>
      <c r="D247" t="s">
        <v>408</v>
      </c>
      <c r="E247">
        <v>11.376200000000001</v>
      </c>
      <c r="F247">
        <v>11.376200000000001</v>
      </c>
      <c r="G247">
        <v>11.376200000000001</v>
      </c>
      <c r="H247">
        <v>11.376200000000001</v>
      </c>
      <c r="I247">
        <v>9.1210000000000004</v>
      </c>
    </row>
    <row r="248" spans="1:9" x14ac:dyDescent="0.25">
      <c r="A248" t="s">
        <v>391</v>
      </c>
      <c r="B248" t="s">
        <v>5</v>
      </c>
      <c r="C248" t="s">
        <v>82</v>
      </c>
      <c r="D248" t="s">
        <v>83</v>
      </c>
      <c r="E248">
        <v>0.58466575274999999</v>
      </c>
      <c r="F248">
        <v>0.58466617799800003</v>
      </c>
      <c r="G248">
        <v>0.58466660324399999</v>
      </c>
      <c r="H248">
        <v>0.584667966313</v>
      </c>
      <c r="I248">
        <v>0.220387984329</v>
      </c>
    </row>
    <row r="249" spans="1:9" x14ac:dyDescent="0.25">
      <c r="A249" t="s">
        <v>392</v>
      </c>
      <c r="B249" t="s">
        <v>5</v>
      </c>
      <c r="C249" t="s">
        <v>82</v>
      </c>
      <c r="D249" t="s">
        <v>84</v>
      </c>
      <c r="E249">
        <v>3.0819999999999999</v>
      </c>
      <c r="F249">
        <v>3.0819999999999999</v>
      </c>
      <c r="G249">
        <v>3.0819999999999999</v>
      </c>
      <c r="H249">
        <v>3.0819999999999999</v>
      </c>
      <c r="I249">
        <v>1.573</v>
      </c>
    </row>
    <row r="250" spans="1:9" x14ac:dyDescent="0.25">
      <c r="A250" t="s">
        <v>393</v>
      </c>
      <c r="B250" t="s">
        <v>85</v>
      </c>
      <c r="C250" t="s">
        <v>86</v>
      </c>
      <c r="D250" t="s">
        <v>87</v>
      </c>
      <c r="E250">
        <v>3849.56</v>
      </c>
      <c r="F250">
        <v>3849.56</v>
      </c>
      <c r="G250">
        <v>3849.56</v>
      </c>
      <c r="H250">
        <v>3849.56</v>
      </c>
      <c r="I250">
        <v>3849.56</v>
      </c>
    </row>
    <row r="251" spans="1:9" x14ac:dyDescent="0.25">
      <c r="A251" t="s">
        <v>394</v>
      </c>
      <c r="B251" t="s">
        <v>85</v>
      </c>
      <c r="C251" t="s">
        <v>88</v>
      </c>
      <c r="D251" t="s">
        <v>87</v>
      </c>
      <c r="E251">
        <v>3331.09</v>
      </c>
      <c r="F251">
        <v>3331.09</v>
      </c>
      <c r="G251">
        <v>3331.09</v>
      </c>
      <c r="H251">
        <v>3331.09</v>
      </c>
      <c r="I251">
        <v>3321.97</v>
      </c>
    </row>
    <row r="252" spans="1:9" x14ac:dyDescent="0.25">
      <c r="A252" t="s">
        <v>395</v>
      </c>
      <c r="B252" t="s">
        <v>85</v>
      </c>
      <c r="C252" t="s">
        <v>89</v>
      </c>
      <c r="D252" t="s">
        <v>87</v>
      </c>
      <c r="E252">
        <v>518.47</v>
      </c>
      <c r="F252">
        <v>518.47</v>
      </c>
      <c r="G252">
        <v>518.47</v>
      </c>
      <c r="H252">
        <v>518.47</v>
      </c>
      <c r="I252">
        <v>527.59</v>
      </c>
    </row>
    <row r="253" spans="1:9" x14ac:dyDescent="0.25">
      <c r="A253" t="s">
        <v>409</v>
      </c>
      <c r="B253" t="s">
        <v>85</v>
      </c>
      <c r="C253" t="s">
        <v>410</v>
      </c>
      <c r="D253" t="s">
        <v>411</v>
      </c>
      <c r="E253">
        <v>13000.43</v>
      </c>
      <c r="F253">
        <v>13000.43</v>
      </c>
      <c r="G253">
        <v>13000.43</v>
      </c>
      <c r="H253">
        <v>13000.43</v>
      </c>
      <c r="I253">
        <v>13000.43</v>
      </c>
    </row>
    <row r="254" spans="1:9" x14ac:dyDescent="0.25">
      <c r="A254" t="s">
        <v>412</v>
      </c>
      <c r="B254" t="s">
        <v>85</v>
      </c>
      <c r="C254" t="s">
        <v>413</v>
      </c>
      <c r="D254" t="s">
        <v>414</v>
      </c>
      <c r="E254">
        <v>2143.9699999999998</v>
      </c>
      <c r="F254">
        <v>2143.9699999999998</v>
      </c>
      <c r="G254">
        <v>2143.9699999999998</v>
      </c>
      <c r="H254">
        <v>2143.9699999999998</v>
      </c>
      <c r="I254">
        <v>2143.9699999999998</v>
      </c>
    </row>
    <row r="255" spans="1:9" x14ac:dyDescent="0.25">
      <c r="A255" t="s">
        <v>415</v>
      </c>
      <c r="B255" t="s">
        <v>85</v>
      </c>
      <c r="C255" t="s">
        <v>416</v>
      </c>
      <c r="D255" t="s">
        <v>414</v>
      </c>
      <c r="E255">
        <v>172.56</v>
      </c>
      <c r="F255">
        <v>172.56</v>
      </c>
      <c r="G255">
        <v>172.56</v>
      </c>
      <c r="H255">
        <v>172.56</v>
      </c>
      <c r="I255">
        <v>250.51</v>
      </c>
    </row>
    <row r="256" spans="1:9" x14ac:dyDescent="0.25">
      <c r="A256" t="s">
        <v>396</v>
      </c>
      <c r="B256" t="s">
        <v>85</v>
      </c>
      <c r="C256" t="s">
        <v>90</v>
      </c>
      <c r="D256" t="s">
        <v>91</v>
      </c>
      <c r="E256">
        <v>10.6982</v>
      </c>
      <c r="F256">
        <v>10.6982</v>
      </c>
      <c r="G256">
        <v>10.6982</v>
      </c>
      <c r="H256">
        <v>10.6982</v>
      </c>
      <c r="I256">
        <v>8.6588999999999992</v>
      </c>
    </row>
    <row r="257" spans="1:9" x14ac:dyDescent="0.25">
      <c r="A257" t="s">
        <v>397</v>
      </c>
      <c r="B257" t="s">
        <v>85</v>
      </c>
      <c r="C257" t="s">
        <v>92</v>
      </c>
      <c r="D257" t="s">
        <v>93</v>
      </c>
      <c r="E257">
        <v>9.4600000000000009</v>
      </c>
      <c r="F257">
        <v>9.4600000000000009</v>
      </c>
      <c r="G257">
        <v>9.4600000000000009</v>
      </c>
      <c r="H257">
        <v>9.4600000000000009</v>
      </c>
      <c r="I257">
        <v>9.3699999999999992</v>
      </c>
    </row>
    <row r="258" spans="1:9" x14ac:dyDescent="0.25">
      <c r="A258" t="s">
        <v>398</v>
      </c>
      <c r="B258" t="s">
        <v>85</v>
      </c>
      <c r="C258" t="s">
        <v>94</v>
      </c>
      <c r="D258" t="s">
        <v>95</v>
      </c>
      <c r="E258">
        <v>10.2242</v>
      </c>
      <c r="F258">
        <v>10.2242</v>
      </c>
      <c r="G258">
        <v>10.2242</v>
      </c>
      <c r="H258">
        <v>10.2242</v>
      </c>
      <c r="I258">
        <v>10.3294</v>
      </c>
    </row>
    <row r="259" spans="1:9" x14ac:dyDescent="0.25">
      <c r="A259" t="s">
        <v>429</v>
      </c>
      <c r="B259" t="s">
        <v>430</v>
      </c>
      <c r="C259" t="s">
        <v>431</v>
      </c>
      <c r="D259" t="s">
        <v>432</v>
      </c>
      <c r="E259">
        <v>104.7526055</v>
      </c>
      <c r="F259">
        <v>103.0500268</v>
      </c>
      <c r="G259">
        <v>103.64763720000001</v>
      </c>
      <c r="H259">
        <v>101.7506685</v>
      </c>
      <c r="I259">
        <v>32.236249100000002</v>
      </c>
    </row>
    <row r="260" spans="1:9" x14ac:dyDescent="0.25">
      <c r="A260" t="s">
        <v>433</v>
      </c>
      <c r="B260" t="s">
        <v>430</v>
      </c>
      <c r="C260" t="s">
        <v>434</v>
      </c>
      <c r="D260" t="s">
        <v>432</v>
      </c>
      <c r="E260">
        <v>-289.96045500000002</v>
      </c>
      <c r="F260">
        <v>-288.83993550000002</v>
      </c>
      <c r="G260">
        <v>-292.81632180000003</v>
      </c>
      <c r="H260">
        <v>-283.14736319999997</v>
      </c>
      <c r="I260">
        <v>-318.9004051</v>
      </c>
    </row>
    <row r="261" spans="1:9" x14ac:dyDescent="0.25">
      <c r="A261" t="s">
        <v>435</v>
      </c>
      <c r="B261" t="s">
        <v>430</v>
      </c>
      <c r="C261" t="s">
        <v>436</v>
      </c>
      <c r="D261" t="s">
        <v>432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5">
      <c r="A262" t="s">
        <v>437</v>
      </c>
      <c r="B262" t="s">
        <v>430</v>
      </c>
      <c r="C262" t="s">
        <v>438</v>
      </c>
      <c r="D262" t="s">
        <v>432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5">
      <c r="A263" t="s">
        <v>439</v>
      </c>
      <c r="B263" t="s">
        <v>430</v>
      </c>
      <c r="C263" t="s">
        <v>440</v>
      </c>
      <c r="D263" t="s">
        <v>432</v>
      </c>
      <c r="E263">
        <v>73.376393300000004</v>
      </c>
      <c r="F263">
        <v>73.257260000000002</v>
      </c>
      <c r="G263">
        <v>73.435265700000002</v>
      </c>
      <c r="H263">
        <v>73.339459199999993</v>
      </c>
      <c r="I263">
        <v>68.254494500000007</v>
      </c>
    </row>
    <row r="264" spans="1:9" x14ac:dyDescent="0.25">
      <c r="A264" t="s">
        <v>441</v>
      </c>
      <c r="B264" t="s">
        <v>430</v>
      </c>
      <c r="C264" t="s">
        <v>442</v>
      </c>
      <c r="D264" t="s">
        <v>432</v>
      </c>
      <c r="E264">
        <v>113.8339509</v>
      </c>
      <c r="F264">
        <v>113.8339509</v>
      </c>
      <c r="G264">
        <v>113.8339509</v>
      </c>
      <c r="H264">
        <v>113.8339509</v>
      </c>
      <c r="I264">
        <v>89.347753400000002</v>
      </c>
    </row>
    <row r="265" spans="1:9" x14ac:dyDescent="0.25">
      <c r="A265" t="s">
        <v>443</v>
      </c>
      <c r="B265" t="s">
        <v>430</v>
      </c>
      <c r="C265" t="s">
        <v>444</v>
      </c>
      <c r="D265" t="s">
        <v>432</v>
      </c>
      <c r="E265">
        <v>148.34622920000001</v>
      </c>
      <c r="F265">
        <v>148.34622920000001</v>
      </c>
      <c r="G265">
        <v>148.34622920000001</v>
      </c>
      <c r="H265">
        <v>148.34622920000001</v>
      </c>
      <c r="I265">
        <v>149.82276010000001</v>
      </c>
    </row>
    <row r="266" spans="1:9" x14ac:dyDescent="0.25">
      <c r="A266" t="s">
        <v>445</v>
      </c>
      <c r="B266" t="s">
        <v>430</v>
      </c>
      <c r="C266" t="s">
        <v>446</v>
      </c>
      <c r="D266" t="s">
        <v>432</v>
      </c>
      <c r="E266">
        <v>149.1973797</v>
      </c>
      <c r="F266">
        <v>148.47896979999999</v>
      </c>
      <c r="G266">
        <v>151.7613838</v>
      </c>
      <c r="H266">
        <v>146.9352355</v>
      </c>
      <c r="I266">
        <v>242.4840299</v>
      </c>
    </row>
    <row r="267" spans="1:9" x14ac:dyDescent="0.25">
      <c r="A267" t="s">
        <v>447</v>
      </c>
      <c r="B267" t="s">
        <v>430</v>
      </c>
      <c r="C267" t="s">
        <v>448</v>
      </c>
      <c r="D267" t="s">
        <v>432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5">
      <c r="A268" t="s">
        <v>449</v>
      </c>
      <c r="B268" t="s">
        <v>430</v>
      </c>
      <c r="C268" t="s">
        <v>450</v>
      </c>
      <c r="D268" t="s">
        <v>432</v>
      </c>
      <c r="E268">
        <v>1.3193527</v>
      </c>
      <c r="F268">
        <v>1.3310161</v>
      </c>
      <c r="G268">
        <v>1.3251843999999999</v>
      </c>
      <c r="H268">
        <v>1.3293499</v>
      </c>
      <c r="I268">
        <v>0.66925699999999999</v>
      </c>
    </row>
    <row r="269" spans="1:9" x14ac:dyDescent="0.25">
      <c r="A269" t="s">
        <v>451</v>
      </c>
      <c r="B269" t="s">
        <v>430</v>
      </c>
      <c r="C269" t="s">
        <v>452</v>
      </c>
      <c r="D269" t="s">
        <v>432</v>
      </c>
      <c r="E269">
        <v>18.4656615</v>
      </c>
      <c r="F269">
        <v>20.587289500000001</v>
      </c>
      <c r="G269">
        <v>20.933026000000002</v>
      </c>
      <c r="H269">
        <v>17.7678014</v>
      </c>
      <c r="I269">
        <v>31.130725399999999</v>
      </c>
    </row>
    <row r="270" spans="1:9" x14ac:dyDescent="0.25">
      <c r="A270" t="s">
        <v>453</v>
      </c>
      <c r="B270" t="s">
        <v>430</v>
      </c>
      <c r="C270" t="s">
        <v>454</v>
      </c>
      <c r="D270" t="s">
        <v>432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 t="s">
        <v>455</v>
      </c>
      <c r="B271" t="s">
        <v>430</v>
      </c>
      <c r="C271" t="s">
        <v>456</v>
      </c>
      <c r="D271" t="s">
        <v>432</v>
      </c>
      <c r="E271">
        <v>-166.46171100000001</v>
      </c>
      <c r="F271">
        <v>-165.6419406</v>
      </c>
      <c r="G271">
        <v>-165.53363759999999</v>
      </c>
      <c r="H271">
        <v>-167.2109456</v>
      </c>
      <c r="I271">
        <v>-146.3215185</v>
      </c>
    </row>
    <row r="272" spans="1:9" x14ac:dyDescent="0.25">
      <c r="A272" t="s">
        <v>457</v>
      </c>
      <c r="B272" t="s">
        <v>430</v>
      </c>
      <c r="C272" t="s">
        <v>458</v>
      </c>
      <c r="D272" t="s">
        <v>432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5">
      <c r="A273" t="s">
        <v>459</v>
      </c>
      <c r="B273" t="s">
        <v>430</v>
      </c>
      <c r="C273" t="s">
        <v>460</v>
      </c>
      <c r="D273" t="s">
        <v>432</v>
      </c>
      <c r="E273">
        <v>-43.212341600000002</v>
      </c>
      <c r="F273">
        <v>-43.136251799999997</v>
      </c>
      <c r="G273">
        <v>-43.151803000000001</v>
      </c>
      <c r="H273">
        <v>-43.326198599999998</v>
      </c>
      <c r="I273">
        <v>-52.765777</v>
      </c>
    </row>
    <row r="274" spans="1:9" x14ac:dyDescent="0.25">
      <c r="A274" t="s">
        <v>461</v>
      </c>
      <c r="B274" t="s">
        <v>430</v>
      </c>
      <c r="C274" t="s">
        <v>462</v>
      </c>
      <c r="D274" t="s">
        <v>432</v>
      </c>
      <c r="E274">
        <v>-109.6576206</v>
      </c>
      <c r="F274">
        <v>-111.2682806</v>
      </c>
      <c r="G274">
        <v>-111.78285870000001</v>
      </c>
      <c r="H274">
        <v>-109.61846490000001</v>
      </c>
      <c r="I274">
        <v>-95.957291100000006</v>
      </c>
    </row>
    <row r="275" spans="1:9" x14ac:dyDescent="0.25">
      <c r="A275" t="s">
        <v>478</v>
      </c>
      <c r="B275" t="s">
        <v>5</v>
      </c>
      <c r="C275" t="s">
        <v>96</v>
      </c>
      <c r="D275" t="s">
        <v>479</v>
      </c>
      <c r="E275">
        <v>8.3600520527800004</v>
      </c>
      <c r="F275">
        <v>8.2960475749999993</v>
      </c>
      <c r="G275">
        <v>8.3789301500000004</v>
      </c>
      <c r="H275">
        <v>8.2514050166700006</v>
      </c>
      <c r="I275">
        <v>10.4121312694</v>
      </c>
    </row>
    <row r="276" spans="1:9" x14ac:dyDescent="0.25">
      <c r="A276" t="s">
        <v>480</v>
      </c>
      <c r="B276" t="s">
        <v>5</v>
      </c>
      <c r="C276" t="s">
        <v>96</v>
      </c>
      <c r="D276" t="s">
        <v>481</v>
      </c>
      <c r="E276">
        <v>2.4209483305599999</v>
      </c>
      <c r="F276">
        <v>2.4093108722199998</v>
      </c>
      <c r="G276">
        <v>2.4204889305599999</v>
      </c>
      <c r="H276">
        <v>2.4154602083299999</v>
      </c>
      <c r="I276">
        <v>2.5311601166700002</v>
      </c>
    </row>
    <row r="277" spans="1:9" x14ac:dyDescent="0.25">
      <c r="A277" t="s">
        <v>486</v>
      </c>
      <c r="B277" t="s">
        <v>5</v>
      </c>
      <c r="C277" t="s">
        <v>487</v>
      </c>
      <c r="D277" t="s">
        <v>488</v>
      </c>
      <c r="E277">
        <v>3.0819999999999999</v>
      </c>
      <c r="F277">
        <v>3.0819999999999999</v>
      </c>
      <c r="G277">
        <v>3.0819999999999999</v>
      </c>
      <c r="H277">
        <v>3.0819999999999999</v>
      </c>
      <c r="I277">
        <v>1.573</v>
      </c>
    </row>
    <row r="278" spans="1:9" x14ac:dyDescent="0.25">
      <c r="A278" t="s">
        <v>489</v>
      </c>
      <c r="B278" t="s">
        <v>5</v>
      </c>
      <c r="C278" t="s">
        <v>487</v>
      </c>
      <c r="D278" t="s">
        <v>490</v>
      </c>
      <c r="E278">
        <v>0.42799999999999999</v>
      </c>
      <c r="F278">
        <v>0.42799999999999999</v>
      </c>
      <c r="G278">
        <v>0.42799999999999999</v>
      </c>
      <c r="H278">
        <v>0.42799999999999999</v>
      </c>
      <c r="I278">
        <v>0.47199999999999998</v>
      </c>
    </row>
    <row r="279" spans="1:9" x14ac:dyDescent="0.25">
      <c r="A279" t="s">
        <v>491</v>
      </c>
      <c r="B279" t="s">
        <v>5</v>
      </c>
      <c r="C279" t="s">
        <v>487</v>
      </c>
      <c r="D279" t="s">
        <v>492</v>
      </c>
      <c r="E279">
        <v>0.308</v>
      </c>
      <c r="F279">
        <v>0.308</v>
      </c>
      <c r="G279">
        <v>0.308</v>
      </c>
      <c r="H279">
        <v>0.308</v>
      </c>
      <c r="I279">
        <v>0.66100000000000003</v>
      </c>
    </row>
    <row r="280" spans="1:9" x14ac:dyDescent="0.25">
      <c r="A280" t="s">
        <v>493</v>
      </c>
      <c r="B280" t="s">
        <v>5</v>
      </c>
      <c r="C280" t="s">
        <v>494</v>
      </c>
      <c r="D280" t="s">
        <v>495</v>
      </c>
      <c r="E280">
        <v>160558.28</v>
      </c>
      <c r="F280">
        <v>149619.87</v>
      </c>
      <c r="G280">
        <v>161848.57</v>
      </c>
      <c r="H280">
        <v>149560.10999999999</v>
      </c>
      <c r="I280">
        <v>218318.46</v>
      </c>
    </row>
    <row r="281" spans="1:9" x14ac:dyDescent="0.25">
      <c r="A281" t="s">
        <v>496</v>
      </c>
      <c r="B281" t="s">
        <v>5</v>
      </c>
      <c r="C281" t="s">
        <v>494</v>
      </c>
      <c r="D281" t="s">
        <v>497</v>
      </c>
      <c r="E281">
        <v>184641.95</v>
      </c>
      <c r="F281">
        <v>172062.86</v>
      </c>
      <c r="G281">
        <v>186125.78</v>
      </c>
      <c r="H281">
        <v>171994.12</v>
      </c>
      <c r="I281">
        <v>218318.46</v>
      </c>
    </row>
    <row r="282" spans="1:9" x14ac:dyDescent="0.25">
      <c r="A282" t="s">
        <v>498</v>
      </c>
      <c r="B282" t="s">
        <v>5</v>
      </c>
      <c r="C282" t="s">
        <v>494</v>
      </c>
      <c r="D282" t="s">
        <v>499</v>
      </c>
      <c r="E282">
        <v>11.930999999999999</v>
      </c>
      <c r="F282">
        <v>11.12</v>
      </c>
      <c r="G282">
        <v>12.025</v>
      </c>
      <c r="H282">
        <v>11.118</v>
      </c>
      <c r="I282">
        <v>16.218</v>
      </c>
    </row>
    <row r="283" spans="1:9" x14ac:dyDescent="0.25">
      <c r="A283" t="s">
        <v>500</v>
      </c>
      <c r="B283" t="s">
        <v>5</v>
      </c>
      <c r="C283" t="s">
        <v>494</v>
      </c>
      <c r="D283" t="s">
        <v>501</v>
      </c>
      <c r="E283">
        <v>14.526</v>
      </c>
      <c r="F283">
        <v>13.898</v>
      </c>
      <c r="G283">
        <v>14.606</v>
      </c>
      <c r="H283">
        <v>13.894</v>
      </c>
      <c r="I283">
        <v>16.809000000000001</v>
      </c>
    </row>
    <row r="284" spans="1:9" x14ac:dyDescent="0.25">
      <c r="A284" t="s">
        <v>502</v>
      </c>
      <c r="B284" t="s">
        <v>5</v>
      </c>
      <c r="C284" t="s">
        <v>494</v>
      </c>
      <c r="D284" t="s">
        <v>503</v>
      </c>
      <c r="E284">
        <v>114954.69</v>
      </c>
      <c r="F284">
        <v>114511.13</v>
      </c>
      <c r="G284">
        <v>114826.71</v>
      </c>
      <c r="H284">
        <v>114560.42</v>
      </c>
      <c r="I284">
        <v>209942.3</v>
      </c>
    </row>
    <row r="285" spans="1:9" x14ac:dyDescent="0.25">
      <c r="A285" t="s">
        <v>504</v>
      </c>
      <c r="B285" t="s">
        <v>5</v>
      </c>
      <c r="C285" t="s">
        <v>494</v>
      </c>
      <c r="D285" t="s">
        <v>505</v>
      </c>
      <c r="E285">
        <v>143693.32999999999</v>
      </c>
      <c r="F285">
        <v>143138.88</v>
      </c>
      <c r="G285">
        <v>143533.39000000001</v>
      </c>
      <c r="H285">
        <v>143200.57999999999</v>
      </c>
      <c r="I285">
        <v>209942.3</v>
      </c>
    </row>
    <row r="286" spans="1:9" x14ac:dyDescent="0.25">
      <c r="A286" t="s">
        <v>506</v>
      </c>
      <c r="B286" t="s">
        <v>5</v>
      </c>
      <c r="C286" t="s">
        <v>494</v>
      </c>
      <c r="D286" t="s">
        <v>507</v>
      </c>
      <c r="E286">
        <v>8.6240000000000006</v>
      </c>
      <c r="F286">
        <v>8.5850000000000009</v>
      </c>
      <c r="G286">
        <v>8.6120000000000001</v>
      </c>
      <c r="H286">
        <v>8.5890000000000004</v>
      </c>
      <c r="I286">
        <v>15.744</v>
      </c>
    </row>
    <row r="287" spans="1:9" x14ac:dyDescent="0.25">
      <c r="A287" t="s">
        <v>508</v>
      </c>
      <c r="B287" t="s">
        <v>5</v>
      </c>
      <c r="C287" t="s">
        <v>494</v>
      </c>
      <c r="D287" t="s">
        <v>509</v>
      </c>
      <c r="E287">
        <v>12.941000000000001</v>
      </c>
      <c r="F287">
        <v>12.936999999999999</v>
      </c>
      <c r="G287">
        <v>12.930999999999999</v>
      </c>
      <c r="H287">
        <v>12.919</v>
      </c>
      <c r="I287">
        <v>16.687000000000001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I106"/>
  <sheetViews>
    <sheetView tabSelected="1" topLeftCell="A32" zoomScale="115" zoomScaleNormal="115" workbookViewId="0">
      <selection activeCell="G38" sqref="G38"/>
    </sheetView>
  </sheetViews>
  <sheetFormatPr defaultColWidth="9.140625" defaultRowHeight="15" x14ac:dyDescent="0.25"/>
  <cols>
    <col min="2" max="2" width="24.85546875" bestFit="1" customWidth="1"/>
    <col min="3" max="3" width="6" bestFit="1" customWidth="1"/>
    <col min="4" max="4" width="9.5703125" style="3" customWidth="1"/>
    <col min="5" max="5" width="7.85546875" style="3" customWidth="1"/>
    <col min="6" max="6" width="10" style="3" customWidth="1"/>
    <col min="7" max="7" width="8.5703125" style="3" customWidth="1"/>
    <col min="8" max="9" width="12.7109375" style="9" customWidth="1"/>
    <col min="10" max="14" width="12.7109375" style="23" customWidth="1"/>
    <col min="15" max="15" width="9" style="9" customWidth="1"/>
    <col min="16" max="16" width="103.85546875" customWidth="1"/>
    <col min="17" max="18" width="33.140625" style="3" customWidth="1"/>
    <col min="19" max="21" width="11.5703125" style="2" bestFit="1" customWidth="1"/>
    <col min="22" max="22" width="2" style="3" bestFit="1" customWidth="1"/>
    <col min="23" max="23" width="12" style="3" bestFit="1" customWidth="1"/>
    <col min="24" max="24" width="14.85546875" style="3" bestFit="1" customWidth="1"/>
    <col min="25" max="25" width="9.140625" style="2"/>
    <col min="26" max="26" width="12.5703125" style="2" bestFit="1" customWidth="1"/>
    <col min="27" max="61" width="9.140625" style="2"/>
  </cols>
  <sheetData>
    <row r="8" spans="2:61" s="1" customFormat="1" x14ac:dyDescent="0.25">
      <c r="D8" s="4" t="s">
        <v>132</v>
      </c>
      <c r="E8" s="4" t="s">
        <v>131</v>
      </c>
      <c r="F8" s="4" t="s">
        <v>132</v>
      </c>
      <c r="G8" s="4" t="s">
        <v>131</v>
      </c>
      <c r="H8" s="10"/>
      <c r="I8" s="10"/>
      <c r="J8" s="22" t="s">
        <v>132</v>
      </c>
      <c r="K8" s="22"/>
      <c r="L8" s="22"/>
      <c r="M8" s="22" t="s">
        <v>131</v>
      </c>
      <c r="N8" s="22"/>
      <c r="O8" s="10"/>
      <c r="Q8" s="1" t="s">
        <v>142</v>
      </c>
      <c r="R8" s="1" t="s">
        <v>8</v>
      </c>
      <c r="S8" s="1" t="s">
        <v>97</v>
      </c>
      <c r="T8" s="1" t="s">
        <v>98</v>
      </c>
      <c r="U8" s="1" t="s">
        <v>99</v>
      </c>
    </row>
    <row r="9" spans="2:61" s="1" customFormat="1" x14ac:dyDescent="0.25">
      <c r="D9" s="4" t="s">
        <v>101</v>
      </c>
      <c r="E9" s="4" t="s">
        <v>101</v>
      </c>
      <c r="F9" s="4" t="s">
        <v>0</v>
      </c>
      <c r="G9" s="4" t="s">
        <v>0</v>
      </c>
      <c r="H9" s="10"/>
      <c r="I9" s="10"/>
      <c r="J9" s="22" t="s">
        <v>418</v>
      </c>
      <c r="K9" s="22" t="s">
        <v>419</v>
      </c>
      <c r="L9" s="22" t="s">
        <v>420</v>
      </c>
      <c r="M9" s="22" t="s">
        <v>418</v>
      </c>
      <c r="N9" s="22" t="s">
        <v>419</v>
      </c>
      <c r="O9" s="22" t="s">
        <v>420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</row>
    <row r="10" spans="2:61" x14ac:dyDescent="0.25">
      <c r="D10" s="3" t="str">
        <f>IF(           AND(   $V10,             NOT(ISERR(W10))          ),W10,"")</f>
        <v/>
      </c>
      <c r="E10" s="3" t="str">
        <f>IF(           AND(   $V10,             NOT(ISERR(X10))          ),X10,"")</f>
        <v/>
      </c>
      <c r="P10" t="s">
        <v>151</v>
      </c>
      <c r="Q10" s="3">
        <f>VLOOKUP($P10,Table1[#All],MATCH(Q$8,Table1[#Headers],0),FALSE)</f>
        <v>0</v>
      </c>
      <c r="R10" s="3">
        <f>VLOOKUP($P10,Table1[#All],MATCH(R$8,Table1[#Headers],0),FALSE)</f>
        <v>0</v>
      </c>
      <c r="S10" s="2">
        <f>VLOOKUP($P10,Table1[#All],MATCH(S$8,Table1[#Headers],0),FALSE)</f>
        <v>90</v>
      </c>
      <c r="T10" s="2">
        <f>VLOOKUP($P10,Table1[#All],MATCH(T$8,Table1[#Headers],0),FALSE)</f>
        <v>180</v>
      </c>
      <c r="U10" s="2">
        <f>VLOOKUP($P10,Table1[#All],MATCH(U$8,Table1[#Headers],0),FALSE)</f>
        <v>270</v>
      </c>
      <c r="V10" s="3">
        <v>0</v>
      </c>
      <c r="Z10" s="2">
        <f t="shared" ref="Z10:Z56" si="0">AVERAGE(R10:U10)</f>
        <v>135</v>
      </c>
    </row>
    <row r="11" spans="2:61" x14ac:dyDescent="0.25">
      <c r="P11" t="s">
        <v>152</v>
      </c>
      <c r="Q11" s="3">
        <f>VLOOKUP($P11,Table1[#All],MATCH(Q$8,Table1[#Headers],0),FALSE)</f>
        <v>8760</v>
      </c>
      <c r="R11" s="3">
        <f>VLOOKUP($P11,Table1[#All],MATCH(R$8,Table1[#Headers],0),FALSE)</f>
        <v>8760</v>
      </c>
      <c r="S11" s="2">
        <f>VLOOKUP($P11,Table1[#All],MATCH(S$8,Table1[#Headers],0),FALSE)</f>
        <v>8760</v>
      </c>
      <c r="T11" s="2">
        <f>VLOOKUP($P11,Table1[#All],MATCH(T$8,Table1[#Headers],0),FALSE)</f>
        <v>8760</v>
      </c>
      <c r="U11" s="2">
        <f>VLOOKUP($P11,Table1[#All],MATCH(U$8,Table1[#Headers],0),FALSE)</f>
        <v>8760</v>
      </c>
      <c r="V11" s="3">
        <v>1</v>
      </c>
      <c r="Z11" s="2">
        <f t="shared" si="0"/>
        <v>8760</v>
      </c>
    </row>
    <row r="12" spans="2:61" ht="15.75" thickBot="1" x14ac:dyDescent="0.3">
      <c r="Z12" s="2" t="e">
        <f t="shared" si="0"/>
        <v>#DIV/0!</v>
      </c>
    </row>
    <row r="13" spans="2:61" s="5" customFormat="1" ht="15.75" thickTop="1" x14ac:dyDescent="0.25">
      <c r="B13" s="5" t="s">
        <v>81</v>
      </c>
      <c r="C13" s="5" t="s">
        <v>418</v>
      </c>
      <c r="D13" s="6" t="str">
        <f t="shared" ref="D13:D56" si="1">IF(           AND(   $V13,             NOT(ISERR(W13))          ),W13,"")</f>
        <v/>
      </c>
      <c r="E13" s="6" t="str">
        <f t="shared" ref="E13:E56" si="2">IF(           AND(   $V13,             NOT(ISERR(X13))          ),X13,"")</f>
        <v/>
      </c>
      <c r="F13" s="6">
        <f t="shared" ref="F13:F56" si="3">IF(NOT($V13),Q13,"")</f>
        <v>89.347198000000006</v>
      </c>
      <c r="G13" s="6">
        <f>IF(NOT($V13),Z13,"")</f>
        <v>113.834784</v>
      </c>
      <c r="H13" s="8">
        <f>IF(AND(NOT($V13),G13),(G13-F13)/G13,"")</f>
        <v>0.21511514441842305</v>
      </c>
      <c r="I13" s="8"/>
      <c r="J13" s="24">
        <f>IF($C13=J$9,$F13,0)</f>
        <v>89.347198000000006</v>
      </c>
      <c r="K13" s="24">
        <f t="shared" ref="K13:L28" si="4">IF($C13=K$9,$F13,0)</f>
        <v>0</v>
      </c>
      <c r="L13" s="24">
        <f t="shared" si="4"/>
        <v>0</v>
      </c>
      <c r="M13" s="24">
        <f>IF($C13=M$9,$G13,0)</f>
        <v>113.834784</v>
      </c>
      <c r="N13" s="24">
        <f t="shared" ref="N13:O28" si="5">IF($C13=N$9,$G13,0)</f>
        <v>0</v>
      </c>
      <c r="O13" s="24">
        <f t="shared" si="5"/>
        <v>0</v>
      </c>
      <c r="P13" s="5" t="s">
        <v>153</v>
      </c>
      <c r="Q13" s="16">
        <f>VLOOKUP($P13,Table1[#All],MATCH(Q$8,Table1[#Headers],0),FALSE)</f>
        <v>89.347198000000006</v>
      </c>
      <c r="R13" s="16">
        <f>VLOOKUP($P13,Table1[#All],MATCH(R$8,Table1[#Headers],0),FALSE)</f>
        <v>113.834784</v>
      </c>
      <c r="S13" s="16">
        <f>VLOOKUP($P13,Table1[#All],MATCH(S$8,Table1[#Headers],0),FALSE)</f>
        <v>113.834784</v>
      </c>
      <c r="T13" s="16">
        <f>VLOOKUP($P13,Table1[#All],MATCH(T$8,Table1[#Headers],0),FALSE)</f>
        <v>113.834784</v>
      </c>
      <c r="U13" s="16">
        <f>VLOOKUP($P13,Table1[#All],MATCH(U$8,Table1[#Headers],0),FALSE)</f>
        <v>113.834784</v>
      </c>
      <c r="V13" s="6">
        <v>0</v>
      </c>
      <c r="W13" s="6">
        <f>Q11/Q13*1000*1000</f>
        <v>98044484.842154771</v>
      </c>
      <c r="X13" s="6">
        <f>R11/R13*1000*1000</f>
        <v>76953631.325904727</v>
      </c>
      <c r="Y13" s="7"/>
      <c r="Z13" s="2">
        <f t="shared" si="0"/>
        <v>113.834784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2:61" ht="15.75" thickBot="1" x14ac:dyDescent="0.3">
      <c r="D14" s="3">
        <f t="shared" si="1"/>
        <v>3106.0130265439475</v>
      </c>
      <c r="E14" s="3">
        <f t="shared" si="2"/>
        <v>3108.8681906754259</v>
      </c>
      <c r="F14" s="3" t="str">
        <f t="shared" si="3"/>
        <v/>
      </c>
      <c r="G14" s="3" t="str">
        <f t="shared" ref="G14:G61" si="6">IF(NOT($V14),Z14,"")</f>
        <v/>
      </c>
      <c r="H14" s="9" t="str">
        <f>IF(AND(NOT($V14),G14),(G14-F14)/G14,"")</f>
        <v/>
      </c>
      <c r="J14" s="23">
        <f t="shared" ref="J14:L58" si="7">IF($C14=J$9,$F14,0)</f>
        <v>0</v>
      </c>
      <c r="K14" s="23">
        <f t="shared" si="4"/>
        <v>0</v>
      </c>
      <c r="L14" s="23">
        <f t="shared" si="4"/>
        <v>0</v>
      </c>
      <c r="M14" s="23">
        <f t="shared" ref="M14:O58" si="8">IF($C14=M$9,$G14,0)</f>
        <v>0</v>
      </c>
      <c r="N14" s="23">
        <f t="shared" si="5"/>
        <v>0</v>
      </c>
      <c r="O14" s="23">
        <f t="shared" si="5"/>
        <v>0</v>
      </c>
      <c r="P14" t="s">
        <v>154</v>
      </c>
      <c r="Q14" s="17">
        <f>VLOOKUP($P14,Table1[#All],MATCH(Q$8,Table1[#Headers],0),FALSE)</f>
        <v>28765.88</v>
      </c>
      <c r="R14" s="17">
        <f>VLOOKUP($P14,Table1[#All],MATCH(R$8,Table1[#Headers],0),FALSE)</f>
        <v>36616.15</v>
      </c>
      <c r="S14" s="17">
        <f>VLOOKUP($P14,Table1[#All],MATCH(S$8,Table1[#Headers],0),FALSE)</f>
        <v>36616.15</v>
      </c>
      <c r="T14" s="17">
        <f>VLOOKUP($P14,Table1[#All],MATCH(T$8,Table1[#Headers],0),FALSE)</f>
        <v>36616.15</v>
      </c>
      <c r="U14" s="17">
        <f>VLOOKUP($P14,Table1[#All],MATCH(U$8,Table1[#Headers],0),FALSE)</f>
        <v>36616.15</v>
      </c>
      <c r="V14">
        <v>1</v>
      </c>
      <c r="W14">
        <f t="shared" ref="W14:X22" si="9">Q13/Q14*1000*1000</f>
        <v>3106.0130265439475</v>
      </c>
      <c r="X14">
        <f t="shared" si="9"/>
        <v>3108.8681906754259</v>
      </c>
      <c r="Y14"/>
      <c r="Z14" s="2">
        <f t="shared" si="0"/>
        <v>36616.15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2:61" s="5" customFormat="1" ht="15.75" thickTop="1" x14ac:dyDescent="0.25">
      <c r="B15" s="5" t="s">
        <v>121</v>
      </c>
      <c r="C15" s="5" t="s">
        <v>418</v>
      </c>
      <c r="D15" s="6" t="str">
        <f t="shared" si="1"/>
        <v/>
      </c>
      <c r="E15" s="6" t="str">
        <f t="shared" si="2"/>
        <v/>
      </c>
      <c r="F15" s="6">
        <f t="shared" si="3"/>
        <v>3.0547000000000001E-2</v>
      </c>
      <c r="G15" s="6">
        <f t="shared" si="6"/>
        <v>0</v>
      </c>
      <c r="H15" s="8" t="str">
        <f>IF(AND(NOT($V15),G15),(G15-F15)/G15,"")</f>
        <v/>
      </c>
      <c r="I15" s="8"/>
      <c r="J15" s="24">
        <f t="shared" si="7"/>
        <v>3.0547000000000001E-2</v>
      </c>
      <c r="K15" s="24">
        <f t="shared" si="4"/>
        <v>0</v>
      </c>
      <c r="L15" s="24">
        <f t="shared" si="4"/>
        <v>0</v>
      </c>
      <c r="M15" s="24">
        <f t="shared" si="8"/>
        <v>0</v>
      </c>
      <c r="N15" s="24">
        <f t="shared" si="5"/>
        <v>0</v>
      </c>
      <c r="O15" s="24">
        <f t="shared" si="5"/>
        <v>0</v>
      </c>
      <c r="P15" s="5" t="s">
        <v>165</v>
      </c>
      <c r="Q15" s="16">
        <f>VLOOKUP($P15,Table1[#All],MATCH(Q$8,Table1[#Headers],0),FALSE)</f>
        <v>3.0547000000000001E-2</v>
      </c>
      <c r="R15" s="16">
        <f>VLOOKUP($P15,Table1[#All],MATCH(R$8,Table1[#Headers],0),FALSE)</f>
        <v>0</v>
      </c>
      <c r="S15" s="16">
        <f>VLOOKUP($P15,Table1[#All],MATCH(S$8,Table1[#Headers],0),FALSE)</f>
        <v>0</v>
      </c>
      <c r="T15" s="16">
        <f>VLOOKUP($P15,Table1[#All],MATCH(T$8,Table1[#Headers],0),FALSE)</f>
        <v>0</v>
      </c>
      <c r="U15" s="16">
        <f>VLOOKUP($P15,Table1[#All],MATCH(U$8,Table1[#Headers],0),FALSE)</f>
        <v>0</v>
      </c>
      <c r="V15" s="6">
        <v>0</v>
      </c>
      <c r="W15" s="6">
        <f t="shared" si="9"/>
        <v>941692473892.68994</v>
      </c>
      <c r="X15" s="6" t="e">
        <f t="shared" si="9"/>
        <v>#DIV/0!</v>
      </c>
      <c r="Y15" s="7"/>
      <c r="Z15" s="2">
        <f t="shared" si="0"/>
        <v>0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2:61" x14ac:dyDescent="0.25">
      <c r="D16" s="3" t="str">
        <f t="shared" si="1"/>
        <v/>
      </c>
      <c r="E16" s="3" t="str">
        <f t="shared" si="2"/>
        <v/>
      </c>
      <c r="F16" s="3" t="str">
        <f t="shared" si="3"/>
        <v/>
      </c>
      <c r="G16" s="3" t="str">
        <f t="shared" si="6"/>
        <v/>
      </c>
      <c r="H16" s="9" t="str">
        <f t="shared" ref="H16:H62" si="10">IF(AND(NOT($V16),G16),(G16-F16)/G16,"")</f>
        <v/>
      </c>
      <c r="J16" s="23">
        <f t="shared" si="7"/>
        <v>0</v>
      </c>
      <c r="K16" s="23">
        <f t="shared" si="4"/>
        <v>0</v>
      </c>
      <c r="L16" s="23">
        <f t="shared" si="4"/>
        <v>0</v>
      </c>
      <c r="M16" s="23">
        <f t="shared" si="8"/>
        <v>0</v>
      </c>
      <c r="N16" s="23">
        <f t="shared" si="5"/>
        <v>0</v>
      </c>
      <c r="O16" s="23">
        <f t="shared" si="5"/>
        <v>0</v>
      </c>
      <c r="P16" t="s">
        <v>166</v>
      </c>
      <c r="Q16" s="17">
        <f>VLOOKUP($P16,Table1[#All],MATCH(Q$8,Table1[#Headers],0),FALSE)</f>
        <v>0</v>
      </c>
      <c r="R16" s="17">
        <f>VLOOKUP($P16,Table1[#All],MATCH(R$8,Table1[#Headers],0),FALSE)</f>
        <v>0</v>
      </c>
      <c r="S16" s="17">
        <f>VLOOKUP($P16,Table1[#All],MATCH(S$8,Table1[#Headers],0),FALSE)</f>
        <v>0</v>
      </c>
      <c r="T16" s="17">
        <f>VLOOKUP($P16,Table1[#All],MATCH(T$8,Table1[#Headers],0),FALSE)</f>
        <v>0</v>
      </c>
      <c r="U16" s="17">
        <f>VLOOKUP($P16,Table1[#All],MATCH(U$8,Table1[#Headers],0),FALSE)</f>
        <v>0</v>
      </c>
      <c r="V16">
        <v>1</v>
      </c>
      <c r="W16" t="e">
        <f t="shared" si="9"/>
        <v>#DIV/0!</v>
      </c>
      <c r="X16" t="e">
        <f t="shared" si="9"/>
        <v>#DIV/0!</v>
      </c>
      <c r="Y16"/>
      <c r="Z16" s="2">
        <f t="shared" si="0"/>
        <v>0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2:61" x14ac:dyDescent="0.25">
      <c r="B17" t="s">
        <v>122</v>
      </c>
      <c r="C17" t="s">
        <v>419</v>
      </c>
      <c r="D17" s="3" t="str">
        <f t="shared" si="1"/>
        <v/>
      </c>
      <c r="E17" s="3" t="str">
        <f t="shared" si="2"/>
        <v/>
      </c>
      <c r="F17" s="3">
        <f t="shared" si="3"/>
        <v>0</v>
      </c>
      <c r="G17" s="3">
        <f t="shared" si="6"/>
        <v>0</v>
      </c>
      <c r="H17" s="9" t="str">
        <f t="shared" si="10"/>
        <v/>
      </c>
      <c r="J17" s="23">
        <f t="shared" si="7"/>
        <v>0</v>
      </c>
      <c r="K17" s="23">
        <f t="shared" si="4"/>
        <v>0</v>
      </c>
      <c r="L17" s="23">
        <f t="shared" si="4"/>
        <v>0</v>
      </c>
      <c r="M17" s="23">
        <f t="shared" si="8"/>
        <v>0</v>
      </c>
      <c r="N17" s="23">
        <f t="shared" si="5"/>
        <v>0</v>
      </c>
      <c r="O17" s="23">
        <f t="shared" si="5"/>
        <v>0</v>
      </c>
      <c r="P17" t="s">
        <v>167</v>
      </c>
      <c r="Q17" s="17">
        <f>VLOOKUP($P17,Table1[#All],MATCH(Q$8,Table1[#Headers],0),FALSE)</f>
        <v>0</v>
      </c>
      <c r="R17" s="17">
        <f>VLOOKUP($P17,Table1[#All],MATCH(R$8,Table1[#Headers],0),FALSE)</f>
        <v>0</v>
      </c>
      <c r="S17" s="17">
        <f>VLOOKUP($P17,Table1[#All],MATCH(S$8,Table1[#Headers],0),FALSE)</f>
        <v>0</v>
      </c>
      <c r="T17" s="17">
        <f>VLOOKUP($P17,Table1[#All],MATCH(T$8,Table1[#Headers],0),FALSE)</f>
        <v>0</v>
      </c>
      <c r="U17" s="17">
        <f>VLOOKUP($P17,Table1[#All],MATCH(U$8,Table1[#Headers],0),FALSE)</f>
        <v>0</v>
      </c>
      <c r="V17">
        <v>0</v>
      </c>
      <c r="W17" t="e">
        <f t="shared" si="9"/>
        <v>#DIV/0!</v>
      </c>
      <c r="X17" t="e">
        <f t="shared" si="9"/>
        <v>#DIV/0!</v>
      </c>
      <c r="Y17"/>
      <c r="Z17" s="2">
        <f t="shared" si="0"/>
        <v>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2:61" x14ac:dyDescent="0.25">
      <c r="D18" s="3" t="str">
        <f t="shared" si="1"/>
        <v/>
      </c>
      <c r="E18" s="3" t="str">
        <f t="shared" si="2"/>
        <v/>
      </c>
      <c r="F18" s="3" t="str">
        <f t="shared" si="3"/>
        <v/>
      </c>
      <c r="G18" s="3" t="str">
        <f t="shared" si="6"/>
        <v/>
      </c>
      <c r="H18" s="9" t="str">
        <f t="shared" si="10"/>
        <v/>
      </c>
      <c r="J18" s="23">
        <f t="shared" si="7"/>
        <v>0</v>
      </c>
      <c r="K18" s="23">
        <f t="shared" si="4"/>
        <v>0</v>
      </c>
      <c r="L18" s="23">
        <f t="shared" si="4"/>
        <v>0</v>
      </c>
      <c r="M18" s="23">
        <f t="shared" si="8"/>
        <v>0</v>
      </c>
      <c r="N18" s="23">
        <f t="shared" si="5"/>
        <v>0</v>
      </c>
      <c r="O18" s="23">
        <f t="shared" si="5"/>
        <v>0</v>
      </c>
      <c r="P18" t="s">
        <v>168</v>
      </c>
      <c r="Q18" s="17">
        <f>VLOOKUP($P18,Table1[#All],MATCH(Q$8,Table1[#Headers],0),FALSE)</f>
        <v>0</v>
      </c>
      <c r="R18" s="17">
        <f>VLOOKUP($P18,Table1[#All],MATCH(R$8,Table1[#Headers],0),FALSE)</f>
        <v>0</v>
      </c>
      <c r="S18" s="17">
        <f>VLOOKUP($P18,Table1[#All],MATCH(S$8,Table1[#Headers],0),FALSE)</f>
        <v>0</v>
      </c>
      <c r="T18" s="17">
        <f>VLOOKUP($P18,Table1[#All],MATCH(T$8,Table1[#Headers],0),FALSE)</f>
        <v>0</v>
      </c>
      <c r="U18" s="17">
        <f>VLOOKUP($P18,Table1[#All],MATCH(U$8,Table1[#Headers],0),FALSE)</f>
        <v>0</v>
      </c>
      <c r="V18">
        <v>1</v>
      </c>
      <c r="W18" t="e">
        <f t="shared" si="9"/>
        <v>#DIV/0!</v>
      </c>
      <c r="X18" t="e">
        <f t="shared" si="9"/>
        <v>#DIV/0!</v>
      </c>
      <c r="Y18"/>
      <c r="Z18" s="2">
        <f t="shared" si="0"/>
        <v>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2:61" x14ac:dyDescent="0.25">
      <c r="B19" t="s">
        <v>126</v>
      </c>
      <c r="C19" t="s">
        <v>420</v>
      </c>
      <c r="D19" s="3" t="str">
        <f t="shared" si="1"/>
        <v/>
      </c>
      <c r="E19" s="3" t="str">
        <f t="shared" si="2"/>
        <v/>
      </c>
      <c r="F19" s="3">
        <f t="shared" si="3"/>
        <v>223.49296000000001</v>
      </c>
      <c r="G19" s="3">
        <f t="shared" si="6"/>
        <v>506.43801875000003</v>
      </c>
      <c r="H19" s="9">
        <f>IF(AND(NOT($V19),G19),(G19-F19)/G19,"")</f>
        <v>0.55869632269783065</v>
      </c>
      <c r="J19" s="23">
        <f t="shared" si="7"/>
        <v>0</v>
      </c>
      <c r="K19" s="23">
        <f t="shared" si="4"/>
        <v>0</v>
      </c>
      <c r="L19" s="23">
        <f t="shared" si="4"/>
        <v>223.49296000000001</v>
      </c>
      <c r="M19" s="23">
        <f t="shared" si="8"/>
        <v>0</v>
      </c>
      <c r="N19" s="23">
        <f t="shared" si="5"/>
        <v>0</v>
      </c>
      <c r="O19" s="23">
        <f t="shared" si="5"/>
        <v>506.43801875000003</v>
      </c>
      <c r="P19" t="s">
        <v>169</v>
      </c>
      <c r="Q19" s="17">
        <f>VLOOKUP($P19,Table1[#All],MATCH(Q$8,Table1[#Headers],0),FALSE)</f>
        <v>223.49296000000001</v>
      </c>
      <c r="R19" s="17">
        <f>VLOOKUP($P19,Table1[#All],MATCH(R$8,Table1[#Headers],0),FALSE)</f>
        <v>510.59310499999998</v>
      </c>
      <c r="S19" s="17">
        <f>VLOOKUP($P19,Table1[#All],MATCH(S$8,Table1[#Headers],0),FALSE)</f>
        <v>502.54258199999998</v>
      </c>
      <c r="T19" s="17">
        <f>VLOOKUP($P19,Table1[#All],MATCH(T$8,Table1[#Headers],0),FALSE)</f>
        <v>511.07352600000002</v>
      </c>
      <c r="U19" s="17">
        <f>VLOOKUP($P19,Table1[#All],MATCH(U$8,Table1[#Headers],0),FALSE)</f>
        <v>501.54286200000001</v>
      </c>
      <c r="V19">
        <v>0</v>
      </c>
      <c r="W19">
        <f t="shared" si="9"/>
        <v>0</v>
      </c>
      <c r="X19">
        <f t="shared" si="9"/>
        <v>0</v>
      </c>
      <c r="Y19"/>
      <c r="Z19" s="2">
        <f t="shared" si="0"/>
        <v>506.43801875000003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2:61" ht="15.75" thickBot="1" x14ac:dyDescent="0.3">
      <c r="D20" s="3">
        <f t="shared" si="1"/>
        <v>458.4916204991066</v>
      </c>
      <c r="E20" s="3">
        <f t="shared" si="2"/>
        <v>1500.0193160207339</v>
      </c>
      <c r="F20" s="3" t="str">
        <f t="shared" si="3"/>
        <v/>
      </c>
      <c r="G20" s="3" t="str">
        <f t="shared" si="6"/>
        <v/>
      </c>
      <c r="H20" s="9" t="str">
        <f t="shared" si="10"/>
        <v/>
      </c>
      <c r="J20" s="23">
        <f t="shared" si="7"/>
        <v>0</v>
      </c>
      <c r="K20" s="23">
        <f t="shared" si="4"/>
        <v>0</v>
      </c>
      <c r="L20" s="23">
        <f t="shared" si="4"/>
        <v>0</v>
      </c>
      <c r="M20" s="23">
        <f t="shared" si="8"/>
        <v>0</v>
      </c>
      <c r="N20" s="23">
        <f t="shared" si="5"/>
        <v>0</v>
      </c>
      <c r="O20" s="23">
        <f t="shared" si="5"/>
        <v>0</v>
      </c>
      <c r="P20" t="s">
        <v>170</v>
      </c>
      <c r="Q20" s="17">
        <f>VLOOKUP($P20,Table1[#All],MATCH(Q$8,Table1[#Headers],0),FALSE)</f>
        <v>487452.66</v>
      </c>
      <c r="R20" s="17">
        <f>VLOOKUP($P20,Table1[#All],MATCH(R$8,Table1[#Headers],0),FALSE)</f>
        <v>340391.02</v>
      </c>
      <c r="S20" s="17">
        <f>VLOOKUP($P20,Table1[#All],MATCH(S$8,Table1[#Headers],0),FALSE)</f>
        <v>336462.12</v>
      </c>
      <c r="T20" s="17">
        <f>VLOOKUP($P20,Table1[#All],MATCH(T$8,Table1[#Headers],0),FALSE)</f>
        <v>342065.61</v>
      </c>
      <c r="U20" s="17">
        <f>VLOOKUP($P20,Table1[#All],MATCH(U$8,Table1[#Headers],0),FALSE)</f>
        <v>336706.52</v>
      </c>
      <c r="V20">
        <v>1</v>
      </c>
      <c r="W20">
        <f t="shared" si="9"/>
        <v>458.4916204991066</v>
      </c>
      <c r="X20">
        <f t="shared" si="9"/>
        <v>1500.0193160207339</v>
      </c>
      <c r="Y20"/>
      <c r="Z20" s="2">
        <f t="shared" si="0"/>
        <v>338906.3175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2:61" s="5" customFormat="1" ht="15.75" thickTop="1" x14ac:dyDescent="0.25">
      <c r="B21" s="5" t="s">
        <v>100</v>
      </c>
      <c r="C21" s="5" t="s">
        <v>418</v>
      </c>
      <c r="D21" s="6" t="str">
        <f t="shared" si="1"/>
        <v/>
      </c>
      <c r="E21" s="6" t="str">
        <f t="shared" si="2"/>
        <v/>
      </c>
      <c r="F21" s="6">
        <f t="shared" si="3"/>
        <v>80.271962000000002</v>
      </c>
      <c r="G21" s="6">
        <f t="shared" si="6"/>
        <v>110.94184425</v>
      </c>
      <c r="H21" s="13">
        <f t="shared" si="10"/>
        <v>0.27645008479296124</v>
      </c>
      <c r="I21" s="13"/>
      <c r="J21" s="6">
        <f t="shared" si="7"/>
        <v>80.271962000000002</v>
      </c>
      <c r="K21" s="6">
        <f t="shared" si="4"/>
        <v>0</v>
      </c>
      <c r="L21" s="6">
        <f t="shared" si="4"/>
        <v>0</v>
      </c>
      <c r="M21" s="6">
        <f t="shared" si="8"/>
        <v>110.94184425</v>
      </c>
      <c r="N21" s="6">
        <f t="shared" si="5"/>
        <v>0</v>
      </c>
      <c r="O21" s="6">
        <f t="shared" si="5"/>
        <v>0</v>
      </c>
      <c r="P21" s="5" t="s">
        <v>171</v>
      </c>
      <c r="Q21" s="16">
        <f>VLOOKUP($P21,Table1[#All],MATCH(Q$8,Table1[#Headers],0),FALSE)</f>
        <v>80.271962000000002</v>
      </c>
      <c r="R21" s="16">
        <f>VLOOKUP($P21,Table1[#All],MATCH(R$8,Table1[#Headers],0),FALSE)</f>
        <v>111.702048</v>
      </c>
      <c r="S21" s="16">
        <f>VLOOKUP($P21,Table1[#All],MATCH(S$8,Table1[#Headers],0),FALSE)</f>
        <v>110.258008</v>
      </c>
      <c r="T21" s="16">
        <f>VLOOKUP($P21,Table1[#All],MATCH(T$8,Table1[#Headers],0),FALSE)</f>
        <v>112.343535</v>
      </c>
      <c r="U21" s="16">
        <f>VLOOKUP($P21,Table1[#All],MATCH(U$8,Table1[#Headers],0),FALSE)</f>
        <v>109.463786</v>
      </c>
      <c r="V21" s="6">
        <v>0</v>
      </c>
      <c r="W21" s="6">
        <f t="shared" si="9"/>
        <v>6072514584.855917</v>
      </c>
      <c r="X21" s="6">
        <f t="shared" si="9"/>
        <v>3047312256.9784932</v>
      </c>
      <c r="Y21" s="7"/>
      <c r="Z21" s="7">
        <f t="shared" si="0"/>
        <v>110.94184425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2:61" ht="15.75" thickBot="1" x14ac:dyDescent="0.3">
      <c r="D22" s="3">
        <f t="shared" si="1"/>
        <v>596.21837295559544</v>
      </c>
      <c r="E22" s="3">
        <f t="shared" si="2"/>
        <v>1012.414108389043</v>
      </c>
      <c r="F22" s="3" t="str">
        <f t="shared" si="3"/>
        <v/>
      </c>
      <c r="G22" s="3" t="str">
        <f t="shared" si="6"/>
        <v/>
      </c>
      <c r="H22" s="9" t="str">
        <f t="shared" si="10"/>
        <v/>
      </c>
      <c r="J22" s="23">
        <f t="shared" si="7"/>
        <v>0</v>
      </c>
      <c r="K22" s="23">
        <f t="shared" si="4"/>
        <v>0</v>
      </c>
      <c r="L22" s="23">
        <f t="shared" si="4"/>
        <v>0</v>
      </c>
      <c r="M22" s="23">
        <f t="shared" si="8"/>
        <v>0</v>
      </c>
      <c r="N22" s="23">
        <f t="shared" si="5"/>
        <v>0</v>
      </c>
      <c r="O22" s="3">
        <f t="shared" si="5"/>
        <v>0</v>
      </c>
      <c r="P22" t="s">
        <v>172</v>
      </c>
      <c r="Q22" s="17">
        <f>VLOOKUP($P22,Table1[#All],MATCH(Q$8,Table1[#Headers],0),FALSE)</f>
        <v>134635.17000000001</v>
      </c>
      <c r="R22" s="17">
        <f>VLOOKUP($P22,Table1[#All],MATCH(R$8,Table1[#Headers],0),FALSE)</f>
        <v>110332.37</v>
      </c>
      <c r="S22" s="17">
        <f>VLOOKUP($P22,Table1[#All],MATCH(S$8,Table1[#Headers],0),FALSE)</f>
        <v>108286.71</v>
      </c>
      <c r="T22" s="17">
        <f>VLOOKUP($P22,Table1[#All],MATCH(T$8,Table1[#Headers],0),FALSE)</f>
        <v>111227.78</v>
      </c>
      <c r="U22" s="17">
        <f>VLOOKUP($P22,Table1[#All],MATCH(U$8,Table1[#Headers],0),FALSE)</f>
        <v>108419.78</v>
      </c>
      <c r="V22">
        <v>1</v>
      </c>
      <c r="W22">
        <f t="shared" si="9"/>
        <v>596.21837295559544</v>
      </c>
      <c r="X22">
        <f t="shared" si="9"/>
        <v>1012.414108389043</v>
      </c>
      <c r="Y22"/>
      <c r="Z22" s="2">
        <f t="shared" si="0"/>
        <v>109566.66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2:61" s="5" customFormat="1" ht="15.75" thickTop="1" x14ac:dyDescent="0.25">
      <c r="B23" s="5" t="s">
        <v>3</v>
      </c>
      <c r="C23" s="5" t="s">
        <v>418</v>
      </c>
      <c r="D23" s="6" t="str">
        <f t="shared" si="1"/>
        <v/>
      </c>
      <c r="E23" s="6" t="str">
        <f t="shared" si="2"/>
        <v/>
      </c>
      <c r="F23" s="6">
        <f t="shared" si="3"/>
        <v>1.7328479999999999</v>
      </c>
      <c r="G23" s="6">
        <f t="shared" si="6"/>
        <v>5.4998485000000006</v>
      </c>
      <c r="H23" s="8">
        <f t="shared" si="10"/>
        <v>0.68492804847260802</v>
      </c>
      <c r="I23" s="8"/>
      <c r="J23" s="24">
        <f t="shared" si="7"/>
        <v>1.7328479999999999</v>
      </c>
      <c r="K23" s="24">
        <f t="shared" si="4"/>
        <v>0</v>
      </c>
      <c r="L23" s="24">
        <f t="shared" si="4"/>
        <v>0</v>
      </c>
      <c r="M23" s="24">
        <f t="shared" si="8"/>
        <v>5.4998485000000006</v>
      </c>
      <c r="N23" s="24">
        <f t="shared" si="5"/>
        <v>0</v>
      </c>
      <c r="O23" s="24">
        <f t="shared" si="5"/>
        <v>0</v>
      </c>
      <c r="P23" s="5" t="s">
        <v>177</v>
      </c>
      <c r="Q23" s="16">
        <f>VLOOKUP($P23,Table1[#All],MATCH(Q$8,Table1[#Headers],0),FALSE)</f>
        <v>1.7328479999999999</v>
      </c>
      <c r="R23" s="16">
        <f>VLOOKUP($P23,Table1[#All],MATCH(R$8,Table1[#Headers],0),FALSE)</f>
        <v>5.5234529999999999</v>
      </c>
      <c r="S23" s="16">
        <f>VLOOKUP($P23,Table1[#All],MATCH(S$8,Table1[#Headers],0),FALSE)</f>
        <v>5.4595820000000002</v>
      </c>
      <c r="T23" s="16">
        <f>VLOOKUP($P23,Table1[#All],MATCH(T$8,Table1[#Headers],0),FALSE)</f>
        <v>5.5512230000000002</v>
      </c>
      <c r="U23" s="16">
        <f>VLOOKUP($P23,Table1[#All],MATCH(U$8,Table1[#Headers],0),FALSE)</f>
        <v>5.4651360000000002</v>
      </c>
      <c r="V23" s="6">
        <v>0</v>
      </c>
      <c r="W23" s="6" t="e">
        <f>#REF!/Q23*1000*1000</f>
        <v>#REF!</v>
      </c>
      <c r="X23" s="6" t="e">
        <f>#REF!/R23*1000*1000</f>
        <v>#REF!</v>
      </c>
      <c r="Y23" s="7"/>
      <c r="Z23" s="2">
        <f t="shared" si="0"/>
        <v>5.4998485000000006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2:61" ht="15.75" thickBot="1" x14ac:dyDescent="0.3">
      <c r="D24" s="3">
        <f t="shared" si="1"/>
        <v>3709.8008991650604</v>
      </c>
      <c r="E24" s="3">
        <f t="shared" si="2"/>
        <v>8757.099597298411</v>
      </c>
      <c r="F24" s="3" t="str">
        <f t="shared" si="3"/>
        <v/>
      </c>
      <c r="G24" s="3" t="str">
        <f t="shared" si="6"/>
        <v/>
      </c>
      <c r="H24" s="9" t="str">
        <f t="shared" si="10"/>
        <v/>
      </c>
      <c r="J24" s="23">
        <f t="shared" si="7"/>
        <v>0</v>
      </c>
      <c r="K24" s="23">
        <f t="shared" si="4"/>
        <v>0</v>
      </c>
      <c r="L24" s="23">
        <f t="shared" si="4"/>
        <v>0</v>
      </c>
      <c r="M24" s="23">
        <f t="shared" si="8"/>
        <v>0</v>
      </c>
      <c r="N24" s="23">
        <f t="shared" si="5"/>
        <v>0</v>
      </c>
      <c r="O24" s="3">
        <f t="shared" si="5"/>
        <v>0</v>
      </c>
      <c r="P24" t="s">
        <v>178</v>
      </c>
      <c r="Q24" s="17">
        <f>VLOOKUP($P24,Table1[#All],MATCH(Q$8,Table1[#Headers],0),FALSE)</f>
        <v>467.1</v>
      </c>
      <c r="R24" s="17">
        <f>VLOOKUP($P24,Table1[#All],MATCH(R$8,Table1[#Headers],0),FALSE)</f>
        <v>630.74</v>
      </c>
      <c r="S24" s="17">
        <f>VLOOKUP($P24,Table1[#All],MATCH(S$8,Table1[#Headers],0),FALSE)</f>
        <v>623.46</v>
      </c>
      <c r="T24" s="17">
        <f>VLOOKUP($P24,Table1[#All],MATCH(T$8,Table1[#Headers],0),FALSE)</f>
        <v>633.84</v>
      </c>
      <c r="U24" s="17">
        <f>VLOOKUP($P24,Table1[#All],MATCH(U$8,Table1[#Headers],0),FALSE)</f>
        <v>623.91</v>
      </c>
      <c r="V24">
        <v>1</v>
      </c>
      <c r="W24">
        <f t="shared" ref="W24:X56" si="11">Q23/Q24*1000*1000</f>
        <v>3709.8008991650604</v>
      </c>
      <c r="X24">
        <f t="shared" si="11"/>
        <v>8757.099597298411</v>
      </c>
      <c r="Y24"/>
      <c r="Z24" s="2">
        <f t="shared" si="0"/>
        <v>627.98749999999995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2:61" s="5" customFormat="1" ht="15.75" thickTop="1" x14ac:dyDescent="0.25">
      <c r="B25" s="5" t="s">
        <v>120</v>
      </c>
      <c r="C25" s="5" t="s">
        <v>418</v>
      </c>
      <c r="D25" s="6" t="str">
        <f t="shared" si="1"/>
        <v/>
      </c>
      <c r="E25" s="6" t="str">
        <f t="shared" si="2"/>
        <v/>
      </c>
      <c r="F25" s="6">
        <f t="shared" si="3"/>
        <v>0</v>
      </c>
      <c r="G25" s="6">
        <f t="shared" si="6"/>
        <v>0</v>
      </c>
      <c r="H25" s="8" t="str">
        <f t="shared" si="10"/>
        <v/>
      </c>
      <c r="I25" s="8"/>
      <c r="J25" s="24">
        <f t="shared" si="7"/>
        <v>0</v>
      </c>
      <c r="K25" s="24">
        <f t="shared" si="4"/>
        <v>0</v>
      </c>
      <c r="L25" s="24">
        <f t="shared" si="4"/>
        <v>0</v>
      </c>
      <c r="M25" s="24">
        <f t="shared" si="8"/>
        <v>0</v>
      </c>
      <c r="N25" s="24">
        <f t="shared" si="5"/>
        <v>0</v>
      </c>
      <c r="O25" s="24">
        <f t="shared" si="5"/>
        <v>0</v>
      </c>
      <c r="P25" s="5" t="s">
        <v>183</v>
      </c>
      <c r="Q25" s="16">
        <f>VLOOKUP($P25,Table1[#All],MATCH(Q$8,Table1[#Headers],0),FALSE)</f>
        <v>0</v>
      </c>
      <c r="R25" s="16">
        <f>VLOOKUP($P25,Table1[#All],MATCH(R$8,Table1[#Headers],0),FALSE)</f>
        <v>0</v>
      </c>
      <c r="S25" s="16">
        <f>VLOOKUP($P25,Table1[#All],MATCH(S$8,Table1[#Headers],0),FALSE)</f>
        <v>0</v>
      </c>
      <c r="T25" s="16">
        <f>VLOOKUP($P25,Table1[#All],MATCH(T$8,Table1[#Headers],0),FALSE)</f>
        <v>0</v>
      </c>
      <c r="U25" s="16">
        <f>VLOOKUP($P25,Table1[#All],MATCH(U$8,Table1[#Headers],0),FALSE)</f>
        <v>0</v>
      </c>
      <c r="V25" s="6">
        <v>0</v>
      </c>
      <c r="W25" s="6" t="e">
        <f>#REF!/Q25*1000*1000</f>
        <v>#REF!</v>
      </c>
      <c r="X25" s="6" t="e">
        <f>#REF!/R25*1000*1000</f>
        <v>#REF!</v>
      </c>
      <c r="Y25" s="7"/>
      <c r="Z25" s="2">
        <f t="shared" si="0"/>
        <v>0</v>
      </c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2:61" ht="15.75" thickBot="1" x14ac:dyDescent="0.3">
      <c r="D26" s="3" t="str">
        <f t="shared" si="1"/>
        <v/>
      </c>
      <c r="E26" s="3" t="str">
        <f t="shared" si="2"/>
        <v/>
      </c>
      <c r="F26" s="3" t="str">
        <f t="shared" si="3"/>
        <v/>
      </c>
      <c r="G26" s="3" t="str">
        <f t="shared" si="6"/>
        <v/>
      </c>
      <c r="H26" s="9" t="str">
        <f t="shared" si="10"/>
        <v/>
      </c>
      <c r="J26" s="23">
        <f t="shared" si="7"/>
        <v>0</v>
      </c>
      <c r="K26" s="23">
        <f t="shared" si="4"/>
        <v>0</v>
      </c>
      <c r="L26" s="23">
        <f t="shared" si="4"/>
        <v>0</v>
      </c>
      <c r="M26" s="23">
        <f t="shared" si="8"/>
        <v>0</v>
      </c>
      <c r="N26" s="23">
        <f t="shared" si="5"/>
        <v>0</v>
      </c>
      <c r="O26" s="3">
        <f t="shared" si="5"/>
        <v>0</v>
      </c>
      <c r="P26" t="s">
        <v>184</v>
      </c>
      <c r="Q26" s="17">
        <f>VLOOKUP($P26,Table1[#All],MATCH(Q$8,Table1[#Headers],0),FALSE)</f>
        <v>0</v>
      </c>
      <c r="R26" s="17">
        <f>VLOOKUP($P26,Table1[#All],MATCH(R$8,Table1[#Headers],0),FALSE)</f>
        <v>0</v>
      </c>
      <c r="S26" s="17">
        <f>VLOOKUP($P26,Table1[#All],MATCH(S$8,Table1[#Headers],0),FALSE)</f>
        <v>0</v>
      </c>
      <c r="T26" s="17">
        <f>VLOOKUP($P26,Table1[#All],MATCH(T$8,Table1[#Headers],0),FALSE)</f>
        <v>0</v>
      </c>
      <c r="U26" s="17">
        <f>VLOOKUP($P26,Table1[#All],MATCH(U$8,Table1[#Headers],0),FALSE)</f>
        <v>0</v>
      </c>
      <c r="V26">
        <v>1</v>
      </c>
      <c r="W26" t="e">
        <f t="shared" si="11"/>
        <v>#DIV/0!</v>
      </c>
      <c r="X26" t="e">
        <f t="shared" si="11"/>
        <v>#DIV/0!</v>
      </c>
      <c r="Y26"/>
      <c r="Z26" s="2">
        <f t="shared" si="0"/>
        <v>0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2:61" s="5" customFormat="1" ht="15.75" thickTop="1" x14ac:dyDescent="0.25">
      <c r="B27" s="5" t="s">
        <v>4</v>
      </c>
      <c r="C27" s="5" t="s">
        <v>418</v>
      </c>
      <c r="D27" s="6" t="str">
        <f t="shared" si="1"/>
        <v/>
      </c>
      <c r="E27" s="6" t="str">
        <f t="shared" si="2"/>
        <v/>
      </c>
      <c r="F27" s="6">
        <f t="shared" si="3"/>
        <v>156.23124300000001</v>
      </c>
      <c r="G27" s="6">
        <f t="shared" si="6"/>
        <v>201.95454799999999</v>
      </c>
      <c r="H27" s="8">
        <f t="shared" si="10"/>
        <v>0.22640393817721791</v>
      </c>
      <c r="I27" s="8"/>
      <c r="J27" s="24">
        <f t="shared" si="7"/>
        <v>156.23124300000001</v>
      </c>
      <c r="K27" s="24">
        <f t="shared" si="4"/>
        <v>0</v>
      </c>
      <c r="L27" s="24">
        <f t="shared" si="4"/>
        <v>0</v>
      </c>
      <c r="M27" s="24">
        <f t="shared" si="8"/>
        <v>201.95454799999999</v>
      </c>
      <c r="N27" s="24">
        <f t="shared" si="5"/>
        <v>0</v>
      </c>
      <c r="O27" s="24">
        <f t="shared" si="5"/>
        <v>0</v>
      </c>
      <c r="P27" s="5" t="s">
        <v>189</v>
      </c>
      <c r="Q27" s="16">
        <f>VLOOKUP($P27,Table1[#All],MATCH(Q$8,Table1[#Headers],0),FALSE)</f>
        <v>156.23124300000001</v>
      </c>
      <c r="R27" s="16">
        <f>VLOOKUP($P27,Table1[#All],MATCH(R$8,Table1[#Headers],0),FALSE)</f>
        <v>203.320832</v>
      </c>
      <c r="S27" s="16">
        <f>VLOOKUP($P27,Table1[#All],MATCH(S$8,Table1[#Headers],0),FALSE)</f>
        <v>201.382486</v>
      </c>
      <c r="T27" s="16">
        <f>VLOOKUP($P27,Table1[#All],MATCH(T$8,Table1[#Headers],0),FALSE)</f>
        <v>204.38164599999999</v>
      </c>
      <c r="U27" s="16">
        <f>VLOOKUP($P27,Table1[#All],MATCH(U$8,Table1[#Headers],0),FALSE)</f>
        <v>198.733228</v>
      </c>
      <c r="V27" s="6">
        <v>0</v>
      </c>
      <c r="W27" s="6" t="e">
        <f>#REF!/Q27*1000*1000</f>
        <v>#REF!</v>
      </c>
      <c r="X27" s="6" t="e">
        <f>#REF!/R27*1000*1000</f>
        <v>#REF!</v>
      </c>
      <c r="Y27" s="7"/>
      <c r="Z27" s="2">
        <f t="shared" si="0"/>
        <v>201.95454799999999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2:61" ht="15.75" thickBot="1" x14ac:dyDescent="0.3">
      <c r="D28" s="3">
        <f t="shared" si="1"/>
        <v>3530.4788197813714</v>
      </c>
      <c r="E28" s="3">
        <f t="shared" si="2"/>
        <v>7026.5045218336718</v>
      </c>
      <c r="F28" s="3" t="str">
        <f t="shared" si="3"/>
        <v/>
      </c>
      <c r="G28" s="3" t="str">
        <f t="shared" si="6"/>
        <v/>
      </c>
      <c r="H28" s="9" t="str">
        <f t="shared" si="10"/>
        <v/>
      </c>
      <c r="J28" s="23">
        <f t="shared" si="7"/>
        <v>0</v>
      </c>
      <c r="K28" s="23">
        <f t="shared" si="4"/>
        <v>0</v>
      </c>
      <c r="L28" s="23">
        <f t="shared" si="4"/>
        <v>0</v>
      </c>
      <c r="M28" s="23">
        <f t="shared" si="8"/>
        <v>0</v>
      </c>
      <c r="N28" s="23">
        <f t="shared" si="5"/>
        <v>0</v>
      </c>
      <c r="O28" s="3">
        <f t="shared" si="5"/>
        <v>0</v>
      </c>
      <c r="P28" t="s">
        <v>190</v>
      </c>
      <c r="Q28" s="17">
        <f>VLOOKUP($P28,Table1[#All],MATCH(Q$8,Table1[#Headers],0),FALSE)</f>
        <v>44252.14</v>
      </c>
      <c r="R28" s="17">
        <f>VLOOKUP($P28,Table1[#All],MATCH(R$8,Table1[#Headers],0),FALSE)</f>
        <v>28936.27</v>
      </c>
      <c r="S28" s="17">
        <f>VLOOKUP($P28,Table1[#All],MATCH(S$8,Table1[#Headers],0),FALSE)</f>
        <v>28306.9</v>
      </c>
      <c r="T28" s="17">
        <f>VLOOKUP($P28,Table1[#All],MATCH(T$8,Table1[#Headers],0),FALSE)</f>
        <v>29143.64</v>
      </c>
      <c r="U28" s="17">
        <f>VLOOKUP($P28,Table1[#All],MATCH(U$8,Table1[#Headers],0),FALSE)</f>
        <v>28396.94</v>
      </c>
      <c r="V28">
        <v>1</v>
      </c>
      <c r="W28">
        <f t="shared" si="11"/>
        <v>3530.4788197813714</v>
      </c>
      <c r="X28">
        <f t="shared" si="11"/>
        <v>7026.5045218336718</v>
      </c>
      <c r="Y28"/>
      <c r="Z28" s="2">
        <f t="shared" si="0"/>
        <v>28695.9375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2:61" s="5" customFormat="1" ht="15.75" thickTop="1" x14ac:dyDescent="0.25">
      <c r="B29" s="5" t="s">
        <v>137</v>
      </c>
      <c r="C29" s="5" t="s">
        <v>418</v>
      </c>
      <c r="D29" s="6" t="str">
        <f t="shared" si="1"/>
        <v/>
      </c>
      <c r="E29" s="6" t="str">
        <f t="shared" si="2"/>
        <v/>
      </c>
      <c r="F29" s="6">
        <f t="shared" si="3"/>
        <v>0</v>
      </c>
      <c r="G29" s="6">
        <f t="shared" si="6"/>
        <v>0</v>
      </c>
      <c r="H29" s="8" t="str">
        <f t="shared" si="10"/>
        <v/>
      </c>
      <c r="I29" s="8"/>
      <c r="J29" s="24">
        <f t="shared" si="7"/>
        <v>0</v>
      </c>
      <c r="K29" s="24">
        <f t="shared" si="7"/>
        <v>0</v>
      </c>
      <c r="L29" s="24">
        <f t="shared" si="7"/>
        <v>0</v>
      </c>
      <c r="M29" s="24">
        <f t="shared" si="8"/>
        <v>0</v>
      </c>
      <c r="N29" s="24">
        <f t="shared" si="8"/>
        <v>0</v>
      </c>
      <c r="O29" s="24">
        <f t="shared" si="8"/>
        <v>0</v>
      </c>
      <c r="P29" s="5" t="s">
        <v>195</v>
      </c>
      <c r="Q29" s="16">
        <f>VLOOKUP($P29,Table1[#All],MATCH(Q$8,Table1[#Headers],0),FALSE)</f>
        <v>0</v>
      </c>
      <c r="R29" s="16">
        <f>VLOOKUP($P29,Table1[#All],MATCH(R$8,Table1[#Headers],0),FALSE)</f>
        <v>0</v>
      </c>
      <c r="S29" s="16">
        <f>VLOOKUP($P29,Table1[#All],MATCH(S$8,Table1[#Headers],0),FALSE)</f>
        <v>0</v>
      </c>
      <c r="T29" s="16">
        <f>VLOOKUP($P29,Table1[#All],MATCH(T$8,Table1[#Headers],0),FALSE)</f>
        <v>0</v>
      </c>
      <c r="U29" s="16">
        <f>VLOOKUP($P29,Table1[#All],MATCH(U$8,Table1[#Headers],0),FALSE)</f>
        <v>0</v>
      </c>
      <c r="V29" s="6">
        <v>0</v>
      </c>
      <c r="W29" s="6" t="e">
        <f>#REF!/Q29*1000*1000</f>
        <v>#REF!</v>
      </c>
      <c r="X29" s="6" t="e">
        <f>#REF!/R29*1000*1000</f>
        <v>#REF!</v>
      </c>
      <c r="Y29" s="7"/>
      <c r="Z29" s="2">
        <f t="shared" si="0"/>
        <v>0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2:61" ht="15.75" thickBot="1" x14ac:dyDescent="0.3">
      <c r="D30" s="3" t="str">
        <f t="shared" si="1"/>
        <v/>
      </c>
      <c r="E30" s="3" t="str">
        <f t="shared" si="2"/>
        <v/>
      </c>
      <c r="F30" s="3" t="str">
        <f t="shared" si="3"/>
        <v/>
      </c>
      <c r="G30" s="3" t="str">
        <f t="shared" si="6"/>
        <v/>
      </c>
      <c r="H30" s="9" t="str">
        <f t="shared" si="10"/>
        <v/>
      </c>
      <c r="J30" s="23">
        <f t="shared" si="7"/>
        <v>0</v>
      </c>
      <c r="K30" s="23">
        <f t="shared" si="7"/>
        <v>0</v>
      </c>
      <c r="L30" s="23">
        <f t="shared" si="7"/>
        <v>0</v>
      </c>
      <c r="M30" s="23">
        <f t="shared" si="8"/>
        <v>0</v>
      </c>
      <c r="N30" s="23">
        <f t="shared" si="8"/>
        <v>0</v>
      </c>
      <c r="O30" s="3">
        <f t="shared" si="8"/>
        <v>0</v>
      </c>
      <c r="P30" t="s">
        <v>196</v>
      </c>
      <c r="Q30" s="17">
        <f>VLOOKUP($P30,Table1[#All],MATCH(Q$8,Table1[#Headers],0),FALSE)</f>
        <v>0</v>
      </c>
      <c r="R30" s="17">
        <f>VLOOKUP($P30,Table1[#All],MATCH(R$8,Table1[#Headers],0),FALSE)</f>
        <v>0</v>
      </c>
      <c r="S30" s="17">
        <f>VLOOKUP($P30,Table1[#All],MATCH(S$8,Table1[#Headers],0),FALSE)</f>
        <v>0</v>
      </c>
      <c r="T30" s="17">
        <f>VLOOKUP($P30,Table1[#All],MATCH(T$8,Table1[#Headers],0),FALSE)</f>
        <v>0</v>
      </c>
      <c r="U30" s="17">
        <f>VLOOKUP($P30,Table1[#All],MATCH(U$8,Table1[#Headers],0),FALSE)</f>
        <v>0</v>
      </c>
      <c r="V30">
        <v>1</v>
      </c>
      <c r="W30" t="e">
        <f t="shared" si="11"/>
        <v>#DIV/0!</v>
      </c>
      <c r="X30" t="e">
        <f t="shared" si="11"/>
        <v>#DIV/0!</v>
      </c>
      <c r="Y30"/>
      <c r="Z30" s="2">
        <f t="shared" si="0"/>
        <v>0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2:61" s="5" customFormat="1" ht="15.75" thickTop="1" x14ac:dyDescent="0.25">
      <c r="B31" s="5" t="s">
        <v>123</v>
      </c>
      <c r="C31" s="5" t="s">
        <v>418</v>
      </c>
      <c r="D31" s="6" t="str">
        <f t="shared" si="1"/>
        <v/>
      </c>
      <c r="E31" s="6" t="str">
        <f t="shared" si="2"/>
        <v/>
      </c>
      <c r="F31" s="6">
        <f t="shared" si="3"/>
        <v>81.532719999999998</v>
      </c>
      <c r="G31" s="6">
        <f>IF(NOT($V31),R31,"")</f>
        <v>81.535497000000007</v>
      </c>
      <c r="H31" s="8">
        <f t="shared" si="10"/>
        <v>3.4058785463819655E-5</v>
      </c>
      <c r="I31" s="8"/>
      <c r="J31" s="24">
        <f t="shared" si="7"/>
        <v>81.532719999999998</v>
      </c>
      <c r="K31" s="24">
        <f t="shared" si="7"/>
        <v>0</v>
      </c>
      <c r="L31" s="24">
        <f t="shared" si="7"/>
        <v>0</v>
      </c>
      <c r="M31" s="24">
        <f t="shared" si="8"/>
        <v>81.535497000000007</v>
      </c>
      <c r="N31" s="24">
        <f t="shared" si="8"/>
        <v>0</v>
      </c>
      <c r="O31" s="24">
        <f t="shared" si="8"/>
        <v>0</v>
      </c>
      <c r="P31" s="5" t="s">
        <v>201</v>
      </c>
      <c r="Q31" s="16">
        <f>VLOOKUP($P31,Table1[#All],MATCH(Q$8,Table1[#Headers],0),FALSE)</f>
        <v>81.532719999999998</v>
      </c>
      <c r="R31" s="16">
        <f>VLOOKUP($P31,Table1[#All],MATCH(R$8,Table1[#Headers],0),FALSE)</f>
        <v>81.535497000000007</v>
      </c>
      <c r="S31" s="16">
        <f>VLOOKUP($P31,Table1[#All],MATCH(S$8,Table1[#Headers],0),FALSE)</f>
        <v>81.535497000000007</v>
      </c>
      <c r="T31" s="16">
        <f>VLOOKUP($P31,Table1[#All],MATCH(T$8,Table1[#Headers],0),FALSE)</f>
        <v>81.535497000000007</v>
      </c>
      <c r="U31" s="16">
        <f>VLOOKUP($P31,Table1[#All],MATCH(U$8,Table1[#Headers],0),FALSE)</f>
        <v>81.535497000000007</v>
      </c>
      <c r="V31" s="6">
        <v>0</v>
      </c>
      <c r="W31" s="6" t="e">
        <f>#REF!/Q31*1000*1000</f>
        <v>#REF!</v>
      </c>
      <c r="X31" s="6" t="e">
        <f>#REF!/R31*1000*1000</f>
        <v>#REF!</v>
      </c>
      <c r="Y31" s="7"/>
      <c r="Z31" s="2">
        <f t="shared" si="0"/>
        <v>81.535497000000007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2:61" x14ac:dyDescent="0.25">
      <c r="D32" s="3">
        <f t="shared" si="1"/>
        <v>2414.2306047781985</v>
      </c>
      <c r="E32" s="3">
        <f t="shared" si="2"/>
        <v>2414.3128333410318</v>
      </c>
      <c r="F32" s="3" t="str">
        <f t="shared" si="3"/>
        <v/>
      </c>
      <c r="G32" s="3" t="str">
        <f t="shared" si="6"/>
        <v/>
      </c>
      <c r="H32" s="9" t="str">
        <f t="shared" si="10"/>
        <v/>
      </c>
      <c r="J32" s="23">
        <f t="shared" si="7"/>
        <v>0</v>
      </c>
      <c r="K32" s="23">
        <f t="shared" si="7"/>
        <v>0</v>
      </c>
      <c r="L32" s="23">
        <f t="shared" si="7"/>
        <v>0</v>
      </c>
      <c r="M32" s="23">
        <f t="shared" si="8"/>
        <v>0</v>
      </c>
      <c r="N32" s="23">
        <f t="shared" si="8"/>
        <v>0</v>
      </c>
      <c r="O32" s="3">
        <f t="shared" si="8"/>
        <v>0</v>
      </c>
      <c r="P32" t="s">
        <v>202</v>
      </c>
      <c r="Q32" s="17">
        <f>VLOOKUP($P32,Table1[#All],MATCH(Q$8,Table1[#Headers],0),FALSE)</f>
        <v>33771.72</v>
      </c>
      <c r="R32" s="17">
        <f>VLOOKUP($P32,Table1[#All],MATCH(R$8,Table1[#Headers],0),FALSE)</f>
        <v>33771.72</v>
      </c>
      <c r="S32" s="17">
        <f>VLOOKUP($P32,Table1[#All],MATCH(S$8,Table1[#Headers],0),FALSE)</f>
        <v>33771.72</v>
      </c>
      <c r="T32" s="17">
        <f>VLOOKUP($P32,Table1[#All],MATCH(T$8,Table1[#Headers],0),FALSE)</f>
        <v>33771.72</v>
      </c>
      <c r="U32" s="17">
        <f>VLOOKUP($P32,Table1[#All],MATCH(U$8,Table1[#Headers],0),FALSE)</f>
        <v>33771.72</v>
      </c>
      <c r="V32">
        <v>1</v>
      </c>
      <c r="W32">
        <f t="shared" si="11"/>
        <v>2414.2306047781985</v>
      </c>
      <c r="X32">
        <f t="shared" si="11"/>
        <v>2414.3128333410318</v>
      </c>
      <c r="Y32"/>
      <c r="Z32" s="2">
        <f t="shared" si="0"/>
        <v>33771.72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5">
      <c r="B33" t="s">
        <v>124</v>
      </c>
      <c r="C33" t="s">
        <v>419</v>
      </c>
      <c r="D33" s="3" t="str">
        <f t="shared" si="1"/>
        <v/>
      </c>
      <c r="E33" s="3" t="str">
        <f t="shared" si="2"/>
        <v/>
      </c>
      <c r="F33" s="18">
        <f t="shared" si="3"/>
        <v>0</v>
      </c>
      <c r="G33" s="18">
        <f>IF(NOT($V33),R33,"")</f>
        <v>0</v>
      </c>
      <c r="H33" s="9" t="str">
        <f t="shared" si="10"/>
        <v/>
      </c>
      <c r="J33" s="23">
        <f t="shared" si="7"/>
        <v>0</v>
      </c>
      <c r="K33" s="23">
        <f t="shared" si="7"/>
        <v>0</v>
      </c>
      <c r="L33" s="23">
        <f t="shared" si="7"/>
        <v>0</v>
      </c>
      <c r="M33" s="23">
        <f t="shared" si="8"/>
        <v>0</v>
      </c>
      <c r="N33" s="23">
        <f t="shared" si="8"/>
        <v>0</v>
      </c>
      <c r="O33" s="3">
        <f t="shared" si="8"/>
        <v>0</v>
      </c>
      <c r="P33" t="s">
        <v>203</v>
      </c>
      <c r="Q33" s="17">
        <f>VLOOKUP($P33,Table1[#All],MATCH(Q$8,Table1[#Headers],0),FALSE)</f>
        <v>0</v>
      </c>
      <c r="R33" s="17">
        <f>VLOOKUP($P33,Table1[#All],MATCH(R$8,Table1[#Headers],0),FALSE)</f>
        <v>0</v>
      </c>
      <c r="S33" s="17">
        <f>VLOOKUP($P33,Table1[#All],MATCH(S$8,Table1[#Headers],0),FALSE)</f>
        <v>0</v>
      </c>
      <c r="T33" s="17">
        <f>VLOOKUP($P33,Table1[#All],MATCH(T$8,Table1[#Headers],0),FALSE)</f>
        <v>0</v>
      </c>
      <c r="U33" s="17">
        <f>VLOOKUP($P33,Table1[#All],MATCH(U$8,Table1[#Headers],0),FALSE)</f>
        <v>0</v>
      </c>
      <c r="V33">
        <v>0</v>
      </c>
      <c r="W33" t="e">
        <f t="shared" si="11"/>
        <v>#DIV/0!</v>
      </c>
      <c r="X33" t="e">
        <f t="shared" si="11"/>
        <v>#DIV/0!</v>
      </c>
      <c r="Y33"/>
      <c r="Z33" s="2">
        <f t="shared" si="0"/>
        <v>0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5">
      <c r="D34" s="3" t="str">
        <f t="shared" si="1"/>
        <v/>
      </c>
      <c r="E34" s="3" t="str">
        <f t="shared" si="2"/>
        <v/>
      </c>
      <c r="F34" s="3" t="str">
        <f t="shared" si="3"/>
        <v/>
      </c>
      <c r="G34" s="3" t="str">
        <f t="shared" si="6"/>
        <v/>
      </c>
      <c r="H34" s="9" t="str">
        <f t="shared" si="10"/>
        <v/>
      </c>
      <c r="J34" s="23">
        <f t="shared" si="7"/>
        <v>0</v>
      </c>
      <c r="K34" s="23">
        <f t="shared" si="7"/>
        <v>0</v>
      </c>
      <c r="L34" s="23">
        <f t="shared" si="7"/>
        <v>0</v>
      </c>
      <c r="M34" s="23">
        <f t="shared" si="8"/>
        <v>0</v>
      </c>
      <c r="N34" s="23">
        <f t="shared" si="8"/>
        <v>0</v>
      </c>
      <c r="O34" s="3">
        <f t="shared" si="8"/>
        <v>0</v>
      </c>
      <c r="P34" t="s">
        <v>204</v>
      </c>
      <c r="Q34" s="17">
        <f>VLOOKUP($P34,Table1[#All],MATCH(Q$8,Table1[#Headers],0),FALSE)</f>
        <v>0</v>
      </c>
      <c r="R34" s="17">
        <f>VLOOKUP($P34,Table1[#All],MATCH(R$8,Table1[#Headers],0),FALSE)</f>
        <v>0</v>
      </c>
      <c r="S34" s="17">
        <f>VLOOKUP($P34,Table1[#All],MATCH(S$8,Table1[#Headers],0),FALSE)</f>
        <v>0</v>
      </c>
      <c r="T34" s="17">
        <f>VLOOKUP($P34,Table1[#All],MATCH(T$8,Table1[#Headers],0),FALSE)</f>
        <v>0</v>
      </c>
      <c r="U34" s="17">
        <f>VLOOKUP($P34,Table1[#All],MATCH(U$8,Table1[#Headers],0),FALSE)</f>
        <v>0</v>
      </c>
      <c r="V34">
        <v>1</v>
      </c>
      <c r="W34" t="e">
        <f t="shared" si="11"/>
        <v>#DIV/0!</v>
      </c>
      <c r="X34" t="e">
        <f t="shared" si="11"/>
        <v>#DIV/0!</v>
      </c>
      <c r="Y34"/>
      <c r="Z34" s="2">
        <f t="shared" si="0"/>
        <v>0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5">
      <c r="B35" t="s">
        <v>125</v>
      </c>
      <c r="C35" t="s">
        <v>420</v>
      </c>
      <c r="D35" s="3" t="str">
        <f t="shared" si="1"/>
        <v/>
      </c>
      <c r="E35" s="3" t="str">
        <f t="shared" si="2"/>
        <v/>
      </c>
      <c r="F35" s="18">
        <f t="shared" si="3"/>
        <v>0</v>
      </c>
      <c r="G35" s="18">
        <f>IF(NOT($V35),R35,"")</f>
        <v>0</v>
      </c>
      <c r="H35" s="9" t="str">
        <f t="shared" si="10"/>
        <v/>
      </c>
      <c r="J35" s="23">
        <f t="shared" si="7"/>
        <v>0</v>
      </c>
      <c r="K35" s="23">
        <f t="shared" si="7"/>
        <v>0</v>
      </c>
      <c r="L35" s="23">
        <f t="shared" si="7"/>
        <v>0</v>
      </c>
      <c r="M35" s="23">
        <f t="shared" si="8"/>
        <v>0</v>
      </c>
      <c r="N35" s="23">
        <f t="shared" si="8"/>
        <v>0</v>
      </c>
      <c r="O35" s="3">
        <f t="shared" si="8"/>
        <v>0</v>
      </c>
      <c r="P35" t="s">
        <v>205</v>
      </c>
      <c r="Q35" s="17">
        <f>VLOOKUP($P35,Table1[#All],MATCH(Q$8,Table1[#Headers],0),FALSE)</f>
        <v>0</v>
      </c>
      <c r="R35" s="17">
        <f>VLOOKUP($P35,Table1[#All],MATCH(R$8,Table1[#Headers],0),FALSE)</f>
        <v>0</v>
      </c>
      <c r="S35" s="17">
        <f>VLOOKUP($P35,Table1[#All],MATCH(S$8,Table1[#Headers],0),FALSE)</f>
        <v>0</v>
      </c>
      <c r="T35" s="17">
        <f>VLOOKUP($P35,Table1[#All],MATCH(T$8,Table1[#Headers],0),FALSE)</f>
        <v>0</v>
      </c>
      <c r="U35" s="17">
        <f>VLOOKUP($P35,Table1[#All],MATCH(U$8,Table1[#Headers],0),FALSE)</f>
        <v>0</v>
      </c>
      <c r="V35">
        <v>0</v>
      </c>
      <c r="W35" t="e">
        <f t="shared" si="11"/>
        <v>#DIV/0!</v>
      </c>
      <c r="X35" t="e">
        <f t="shared" si="11"/>
        <v>#DIV/0!</v>
      </c>
      <c r="Y35"/>
      <c r="Z35" s="2">
        <f t="shared" si="0"/>
        <v>0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ht="15.75" thickBot="1" x14ac:dyDescent="0.3">
      <c r="D36" s="3" t="str">
        <f t="shared" si="1"/>
        <v/>
      </c>
      <c r="E36" s="3" t="str">
        <f t="shared" si="2"/>
        <v/>
      </c>
      <c r="F36" s="3" t="str">
        <f t="shared" si="3"/>
        <v/>
      </c>
      <c r="G36" s="3" t="str">
        <f t="shared" si="6"/>
        <v/>
      </c>
      <c r="H36" s="9" t="str">
        <f t="shared" si="10"/>
        <v/>
      </c>
      <c r="J36" s="23">
        <f t="shared" si="7"/>
        <v>0</v>
      </c>
      <c r="K36" s="23">
        <f t="shared" si="7"/>
        <v>0</v>
      </c>
      <c r="L36" s="23">
        <f t="shared" si="7"/>
        <v>0</v>
      </c>
      <c r="M36" s="23">
        <f t="shared" si="8"/>
        <v>0</v>
      </c>
      <c r="N36" s="23">
        <f t="shared" si="8"/>
        <v>0</v>
      </c>
      <c r="O36" s="3">
        <f t="shared" si="8"/>
        <v>0</v>
      </c>
      <c r="P36" t="s">
        <v>206</v>
      </c>
      <c r="Q36" s="17">
        <f>VLOOKUP($P36,Table1[#All],MATCH(Q$8,Table1[#Headers],0),FALSE)</f>
        <v>0</v>
      </c>
      <c r="R36" s="17">
        <f>VLOOKUP($P36,Table1[#All],MATCH(R$8,Table1[#Headers],0),FALSE)</f>
        <v>0</v>
      </c>
      <c r="S36" s="17">
        <f>VLOOKUP($P36,Table1[#All],MATCH(S$8,Table1[#Headers],0),FALSE)</f>
        <v>0</v>
      </c>
      <c r="T36" s="17">
        <f>VLOOKUP($P36,Table1[#All],MATCH(T$8,Table1[#Headers],0),FALSE)</f>
        <v>0</v>
      </c>
      <c r="U36" s="17">
        <f>VLOOKUP($P36,Table1[#All],MATCH(U$8,Table1[#Headers],0),FALSE)</f>
        <v>0</v>
      </c>
      <c r="V36">
        <v>1</v>
      </c>
      <c r="W36" t="e">
        <f t="shared" si="11"/>
        <v>#DIV/0!</v>
      </c>
      <c r="X36" t="e">
        <f t="shared" si="11"/>
        <v>#DIV/0!</v>
      </c>
      <c r="Y36"/>
      <c r="Z36" s="2">
        <f t="shared" si="0"/>
        <v>0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s="5" customFormat="1" ht="15.75" thickTop="1" x14ac:dyDescent="0.25">
      <c r="B37" s="5" t="s">
        <v>119</v>
      </c>
      <c r="C37" s="5" t="s">
        <v>418</v>
      </c>
      <c r="D37" s="6" t="str">
        <f t="shared" si="1"/>
        <v/>
      </c>
      <c r="E37" s="6" t="str">
        <f t="shared" si="2"/>
        <v/>
      </c>
      <c r="F37" s="6">
        <f>IF(NOT($V37),Q37,"") * 2</f>
        <v>299.64385399999998</v>
      </c>
      <c r="G37" s="6">
        <f>IF(NOT($V37),Z37,"") *2</f>
        <v>296.69468000000001</v>
      </c>
      <c r="H37" s="8">
        <f t="shared" si="10"/>
        <v>-9.9400973418194444E-3</v>
      </c>
      <c r="I37" s="8"/>
      <c r="J37" s="24">
        <f t="shared" si="7"/>
        <v>299.64385399999998</v>
      </c>
      <c r="K37" s="24">
        <f t="shared" si="7"/>
        <v>0</v>
      </c>
      <c r="L37" s="24">
        <f t="shared" si="7"/>
        <v>0</v>
      </c>
      <c r="M37" s="24">
        <f t="shared" si="8"/>
        <v>296.69468000000001</v>
      </c>
      <c r="N37" s="24">
        <f t="shared" si="8"/>
        <v>0</v>
      </c>
      <c r="O37" s="24">
        <f t="shared" si="8"/>
        <v>0</v>
      </c>
      <c r="P37" s="5" t="s">
        <v>207</v>
      </c>
      <c r="Q37" s="16">
        <f>VLOOKUP($P37,Table1[#All],MATCH(Q$8,Table1[#Headers],0),FALSE)</f>
        <v>149.82192699999999</v>
      </c>
      <c r="R37" s="16">
        <f>VLOOKUP($P37,Table1[#All],MATCH(R$8,Table1[#Headers],0),FALSE)</f>
        <v>148.34734</v>
      </c>
      <c r="S37" s="16">
        <f>VLOOKUP($P37,Table1[#All],MATCH(S$8,Table1[#Headers],0),FALSE)</f>
        <v>148.34734</v>
      </c>
      <c r="T37" s="16">
        <f>VLOOKUP($P37,Table1[#All],MATCH(T$8,Table1[#Headers],0),FALSE)</f>
        <v>148.34734</v>
      </c>
      <c r="U37" s="16">
        <f>VLOOKUP($P37,Table1[#All],MATCH(U$8,Table1[#Headers],0),FALSE)</f>
        <v>148.34734</v>
      </c>
      <c r="V37" s="6">
        <v>0</v>
      </c>
      <c r="W37" s="6">
        <f t="shared" si="11"/>
        <v>0</v>
      </c>
      <c r="X37" s="6">
        <f t="shared" si="11"/>
        <v>0</v>
      </c>
      <c r="Y37" s="7"/>
      <c r="Z37" s="2">
        <f t="shared" si="0"/>
        <v>148.34734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2:61" ht="15.75" thickBot="1" x14ac:dyDescent="0.3">
      <c r="D38" s="3">
        <f t="shared" si="1"/>
        <v>3767.8159673671398</v>
      </c>
      <c r="E38" s="3">
        <f t="shared" si="2"/>
        <v>3769.0945474058212</v>
      </c>
      <c r="F38" s="3" t="str">
        <f t="shared" si="3"/>
        <v/>
      </c>
      <c r="G38" s="3" t="str">
        <f t="shared" si="6"/>
        <v/>
      </c>
      <c r="H38" s="9" t="str">
        <f t="shared" si="10"/>
        <v/>
      </c>
      <c r="J38" s="23">
        <f t="shared" si="7"/>
        <v>0</v>
      </c>
      <c r="K38" s="23">
        <f t="shared" si="7"/>
        <v>0</v>
      </c>
      <c r="L38" s="23">
        <f t="shared" si="7"/>
        <v>0</v>
      </c>
      <c r="M38" s="23">
        <f t="shared" si="8"/>
        <v>0</v>
      </c>
      <c r="N38" s="23">
        <f t="shared" si="8"/>
        <v>0</v>
      </c>
      <c r="O38" s="3">
        <f t="shared" si="8"/>
        <v>0</v>
      </c>
      <c r="P38" t="s">
        <v>208</v>
      </c>
      <c r="Q38" s="17">
        <f>VLOOKUP($P38,Table1[#All],MATCH(Q$8,Table1[#Headers],0),FALSE)</f>
        <v>39763.599999999999</v>
      </c>
      <c r="R38" s="17">
        <f>VLOOKUP($P38,Table1[#All],MATCH(R$8,Table1[#Headers],0),FALSE)</f>
        <v>39358.879999999997</v>
      </c>
      <c r="S38" s="17">
        <f>VLOOKUP($P38,Table1[#All],MATCH(S$8,Table1[#Headers],0),FALSE)</f>
        <v>39358.879999999997</v>
      </c>
      <c r="T38" s="17">
        <f>VLOOKUP($P38,Table1[#All],MATCH(T$8,Table1[#Headers],0),FALSE)</f>
        <v>39358.879999999997</v>
      </c>
      <c r="U38" s="17">
        <f>VLOOKUP($P38,Table1[#All],MATCH(U$8,Table1[#Headers],0),FALSE)</f>
        <v>39358.879999999997</v>
      </c>
      <c r="V38">
        <v>1</v>
      </c>
      <c r="W38">
        <f t="shared" si="11"/>
        <v>3767.8159673671398</v>
      </c>
      <c r="X38">
        <f t="shared" si="11"/>
        <v>3769.0945474058212</v>
      </c>
      <c r="Y38"/>
      <c r="Z38" s="2">
        <f t="shared" si="0"/>
        <v>39358.879999999997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s="5" customFormat="1" ht="16.5" hidden="1" thickTop="1" thickBot="1" x14ac:dyDescent="0.3">
      <c r="D39" s="6" t="str">
        <f t="shared" si="1"/>
        <v/>
      </c>
      <c r="E39" s="6" t="str">
        <f t="shared" si="2"/>
        <v/>
      </c>
      <c r="F39" s="3" t="e">
        <f t="shared" si="3"/>
        <v>#N/A</v>
      </c>
      <c r="G39" s="3" t="e">
        <f t="shared" si="6"/>
        <v>#N/A</v>
      </c>
      <c r="H39" s="8" t="e">
        <f t="shared" si="10"/>
        <v>#N/A</v>
      </c>
      <c r="I39" s="8"/>
      <c r="J39" s="24">
        <f t="shared" si="7"/>
        <v>0</v>
      </c>
      <c r="K39" s="24">
        <f t="shared" si="7"/>
        <v>0</v>
      </c>
      <c r="L39" s="24">
        <f t="shared" si="7"/>
        <v>0</v>
      </c>
      <c r="M39" s="24">
        <f t="shared" si="8"/>
        <v>0</v>
      </c>
      <c r="N39" s="24">
        <f t="shared" si="8"/>
        <v>0</v>
      </c>
      <c r="O39" s="24">
        <f t="shared" si="8"/>
        <v>0</v>
      </c>
      <c r="P39" s="5" t="s">
        <v>103</v>
      </c>
      <c r="Q39" s="16" t="e">
        <f>VLOOKUP($P39,Table1[#All],MATCH(Q$8,Table1[#Headers],0),FALSE)</f>
        <v>#N/A</v>
      </c>
      <c r="R39" s="16" t="e">
        <f>VLOOKUP($P39,Table1[#All],MATCH(R$8,Table1[#Headers],0),FALSE)</f>
        <v>#N/A</v>
      </c>
      <c r="S39" s="16" t="e">
        <f>VLOOKUP($P39,Table1[#All],MATCH(S$8,Table1[#Headers],0),FALSE)</f>
        <v>#N/A</v>
      </c>
      <c r="T39" s="16" t="e">
        <f>VLOOKUP($P39,Table1[#All],MATCH(T$8,Table1[#Headers],0),FALSE)</f>
        <v>#N/A</v>
      </c>
      <c r="U39" s="16" t="e">
        <f>VLOOKUP($P39,Table1[#All],MATCH(U$8,Table1[#Headers],0),FALSE)</f>
        <v>#N/A</v>
      </c>
      <c r="V39" s="6">
        <v>0</v>
      </c>
      <c r="W39" s="6" t="e">
        <f>#REF!/Q39*1000*1000</f>
        <v>#REF!</v>
      </c>
      <c r="X39" s="6" t="e">
        <f>#REF!/R39*1000*1000</f>
        <v>#REF!</v>
      </c>
      <c r="Y39" s="7"/>
      <c r="Z39" s="2" t="e">
        <f t="shared" si="0"/>
        <v>#N/A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2:61" ht="16.5" hidden="1" thickTop="1" thickBot="1" x14ac:dyDescent="0.3">
      <c r="D40" s="3" t="e">
        <f t="shared" si="1"/>
        <v>#N/A</v>
      </c>
      <c r="E40" s="3" t="e">
        <f t="shared" si="2"/>
        <v>#N/A</v>
      </c>
      <c r="F40" s="3" t="str">
        <f t="shared" si="3"/>
        <v/>
      </c>
      <c r="G40" s="3" t="str">
        <f t="shared" si="6"/>
        <v/>
      </c>
      <c r="H40" s="8" t="str">
        <f t="shared" si="10"/>
        <v/>
      </c>
      <c r="I40" s="11"/>
      <c r="J40" s="25">
        <f t="shared" si="7"/>
        <v>0</v>
      </c>
      <c r="K40" s="25">
        <f t="shared" si="7"/>
        <v>0</v>
      </c>
      <c r="L40" s="25">
        <f t="shared" si="7"/>
        <v>0</v>
      </c>
      <c r="M40" s="25">
        <f t="shared" si="8"/>
        <v>0</v>
      </c>
      <c r="N40" s="25">
        <f t="shared" si="8"/>
        <v>0</v>
      </c>
      <c r="O40" s="25">
        <f t="shared" si="8"/>
        <v>0</v>
      </c>
      <c r="P40" t="s">
        <v>104</v>
      </c>
      <c r="Q40" s="17" t="e">
        <f>VLOOKUP($P40,Table1[#All],MATCH(Q$8,Table1[#Headers],0),FALSE)</f>
        <v>#N/A</v>
      </c>
      <c r="R40" s="17" t="e">
        <f>VLOOKUP($P40,Table1[#All],MATCH(R$8,Table1[#Headers],0),FALSE)</f>
        <v>#N/A</v>
      </c>
      <c r="S40" s="17" t="e">
        <f>VLOOKUP($P40,Table1[#All],MATCH(S$8,Table1[#Headers],0),FALSE)</f>
        <v>#N/A</v>
      </c>
      <c r="T40" s="17" t="e">
        <f>VLOOKUP($P40,Table1[#All],MATCH(T$8,Table1[#Headers],0),FALSE)</f>
        <v>#N/A</v>
      </c>
      <c r="U40" s="17" t="e">
        <f>VLOOKUP($P40,Table1[#All],MATCH(U$8,Table1[#Headers],0),FALSE)</f>
        <v>#N/A</v>
      </c>
      <c r="V40" s="3">
        <v>1</v>
      </c>
      <c r="W40" s="3" t="e">
        <f t="shared" si="11"/>
        <v>#N/A</v>
      </c>
      <c r="X40" s="3" t="e">
        <f t="shared" si="11"/>
        <v>#N/A</v>
      </c>
      <c r="Z40" s="2" t="e">
        <f t="shared" si="0"/>
        <v>#N/A</v>
      </c>
    </row>
    <row r="41" spans="2:61" ht="16.5" hidden="1" thickTop="1" thickBot="1" x14ac:dyDescent="0.3">
      <c r="D41" s="3" t="str">
        <f t="shared" si="1"/>
        <v/>
      </c>
      <c r="E41" s="3" t="str">
        <f t="shared" si="2"/>
        <v/>
      </c>
      <c r="F41" s="3" t="e">
        <f t="shared" si="3"/>
        <v>#N/A</v>
      </c>
      <c r="G41" s="3" t="e">
        <f t="shared" si="6"/>
        <v>#N/A</v>
      </c>
      <c r="H41" s="8" t="e">
        <f t="shared" si="10"/>
        <v>#N/A</v>
      </c>
      <c r="I41" s="11"/>
      <c r="J41" s="25">
        <f t="shared" si="7"/>
        <v>0</v>
      </c>
      <c r="K41" s="25">
        <f t="shared" si="7"/>
        <v>0</v>
      </c>
      <c r="L41" s="25">
        <f t="shared" si="7"/>
        <v>0</v>
      </c>
      <c r="M41" s="25">
        <f t="shared" si="8"/>
        <v>0</v>
      </c>
      <c r="N41" s="25">
        <f t="shared" si="8"/>
        <v>0</v>
      </c>
      <c r="O41" s="25">
        <f t="shared" si="8"/>
        <v>0</v>
      </c>
      <c r="P41" t="s">
        <v>105</v>
      </c>
      <c r="Q41" s="17" t="e">
        <f>VLOOKUP($P41,Table1[#All],MATCH(Q$8,Table1[#Headers],0),FALSE)</f>
        <v>#N/A</v>
      </c>
      <c r="R41" s="17" t="e">
        <f>VLOOKUP($P41,Table1[#All],MATCH(R$8,Table1[#Headers],0),FALSE)</f>
        <v>#N/A</v>
      </c>
      <c r="S41" s="17" t="e">
        <f>VLOOKUP($P41,Table1[#All],MATCH(S$8,Table1[#Headers],0),FALSE)</f>
        <v>#N/A</v>
      </c>
      <c r="T41" s="17" t="e">
        <f>VLOOKUP($P41,Table1[#All],MATCH(T$8,Table1[#Headers],0),FALSE)</f>
        <v>#N/A</v>
      </c>
      <c r="U41" s="17" t="e">
        <f>VLOOKUP($P41,Table1[#All],MATCH(U$8,Table1[#Headers],0),FALSE)</f>
        <v>#N/A</v>
      </c>
      <c r="V41" s="3">
        <v>0</v>
      </c>
      <c r="W41" s="3" t="e">
        <f>#REF!/Q41*1000*1000</f>
        <v>#REF!</v>
      </c>
      <c r="X41" s="3" t="e">
        <f>#REF!/R41*1000*1000</f>
        <v>#REF!</v>
      </c>
      <c r="Z41" s="2" t="e">
        <f t="shared" si="0"/>
        <v>#N/A</v>
      </c>
    </row>
    <row r="42" spans="2:61" ht="16.5" hidden="1" thickTop="1" thickBot="1" x14ac:dyDescent="0.3">
      <c r="D42" s="3" t="e">
        <f t="shared" si="1"/>
        <v>#N/A</v>
      </c>
      <c r="E42" s="3" t="e">
        <f t="shared" si="2"/>
        <v>#N/A</v>
      </c>
      <c r="F42" s="3" t="str">
        <f t="shared" si="3"/>
        <v/>
      </c>
      <c r="G42" s="3" t="str">
        <f t="shared" si="6"/>
        <v/>
      </c>
      <c r="H42" s="8" t="str">
        <f t="shared" si="10"/>
        <v/>
      </c>
      <c r="I42" s="11"/>
      <c r="J42" s="25">
        <f t="shared" si="7"/>
        <v>0</v>
      </c>
      <c r="K42" s="25">
        <f t="shared" si="7"/>
        <v>0</v>
      </c>
      <c r="L42" s="25">
        <f t="shared" si="7"/>
        <v>0</v>
      </c>
      <c r="M42" s="25">
        <f t="shared" si="8"/>
        <v>0</v>
      </c>
      <c r="N42" s="25">
        <f t="shared" si="8"/>
        <v>0</v>
      </c>
      <c r="O42" s="25">
        <f t="shared" si="8"/>
        <v>0</v>
      </c>
      <c r="P42" t="s">
        <v>106</v>
      </c>
      <c r="Q42" s="17" t="e">
        <f>VLOOKUP($P42,Table1[#All],MATCH(Q$8,Table1[#Headers],0),FALSE)</f>
        <v>#N/A</v>
      </c>
      <c r="R42" s="17" t="e">
        <f>VLOOKUP($P42,Table1[#All],MATCH(R$8,Table1[#Headers],0),FALSE)</f>
        <v>#N/A</v>
      </c>
      <c r="S42" s="17" t="e">
        <f>VLOOKUP($P42,Table1[#All],MATCH(S$8,Table1[#Headers],0),FALSE)</f>
        <v>#N/A</v>
      </c>
      <c r="T42" s="17" t="e">
        <f>VLOOKUP($P42,Table1[#All],MATCH(T$8,Table1[#Headers],0),FALSE)</f>
        <v>#N/A</v>
      </c>
      <c r="U42" s="17" t="e">
        <f>VLOOKUP($P42,Table1[#All],MATCH(U$8,Table1[#Headers],0),FALSE)</f>
        <v>#N/A</v>
      </c>
      <c r="V42" s="3">
        <v>1</v>
      </c>
      <c r="W42" s="3" t="e">
        <f t="shared" si="11"/>
        <v>#N/A</v>
      </c>
      <c r="X42" s="3" t="e">
        <f t="shared" si="11"/>
        <v>#N/A</v>
      </c>
      <c r="Z42" s="2" t="e">
        <f t="shared" si="0"/>
        <v>#N/A</v>
      </c>
    </row>
    <row r="43" spans="2:61" ht="16.5" hidden="1" thickTop="1" thickBot="1" x14ac:dyDescent="0.3">
      <c r="D43" s="3" t="str">
        <f t="shared" si="1"/>
        <v/>
      </c>
      <c r="E43" s="3" t="str">
        <f t="shared" si="2"/>
        <v/>
      </c>
      <c r="F43" s="3" t="e">
        <f t="shared" si="3"/>
        <v>#N/A</v>
      </c>
      <c r="G43" s="3" t="e">
        <f t="shared" si="6"/>
        <v>#N/A</v>
      </c>
      <c r="H43" s="8" t="e">
        <f t="shared" si="10"/>
        <v>#N/A</v>
      </c>
      <c r="I43" s="11"/>
      <c r="J43" s="25">
        <f t="shared" si="7"/>
        <v>0</v>
      </c>
      <c r="K43" s="25">
        <f t="shared" si="7"/>
        <v>0</v>
      </c>
      <c r="L43" s="25">
        <f t="shared" si="7"/>
        <v>0</v>
      </c>
      <c r="M43" s="25">
        <f t="shared" si="8"/>
        <v>0</v>
      </c>
      <c r="N43" s="25">
        <f t="shared" si="8"/>
        <v>0</v>
      </c>
      <c r="O43" s="25">
        <f t="shared" si="8"/>
        <v>0</v>
      </c>
      <c r="P43" t="s">
        <v>107</v>
      </c>
      <c r="Q43" s="17" t="e">
        <f>VLOOKUP($P43,Table1[#All],MATCH(Q$8,Table1[#Headers],0),FALSE)</f>
        <v>#N/A</v>
      </c>
      <c r="R43" s="17" t="e">
        <f>VLOOKUP($P43,Table1[#All],MATCH(R$8,Table1[#Headers],0),FALSE)</f>
        <v>#N/A</v>
      </c>
      <c r="S43" s="17" t="e">
        <f>VLOOKUP($P43,Table1[#All],MATCH(S$8,Table1[#Headers],0),FALSE)</f>
        <v>#N/A</v>
      </c>
      <c r="T43" s="17" t="e">
        <f>VLOOKUP($P43,Table1[#All],MATCH(T$8,Table1[#Headers],0),FALSE)</f>
        <v>#N/A</v>
      </c>
      <c r="U43" s="17" t="e">
        <f>VLOOKUP($P43,Table1[#All],MATCH(U$8,Table1[#Headers],0),FALSE)</f>
        <v>#N/A</v>
      </c>
      <c r="V43" s="3">
        <v>0</v>
      </c>
      <c r="W43" s="3" t="e">
        <f>#REF!/Q43*1000*1000</f>
        <v>#REF!</v>
      </c>
      <c r="X43" s="3" t="e">
        <f>#REF!/R43*1000*1000</f>
        <v>#REF!</v>
      </c>
      <c r="Z43" s="2" t="e">
        <f t="shared" si="0"/>
        <v>#N/A</v>
      </c>
    </row>
    <row r="44" spans="2:61" ht="16.5" hidden="1" thickTop="1" thickBot="1" x14ac:dyDescent="0.3">
      <c r="D44" s="3" t="e">
        <f t="shared" si="1"/>
        <v>#N/A</v>
      </c>
      <c r="E44" s="3" t="e">
        <f t="shared" si="2"/>
        <v>#N/A</v>
      </c>
      <c r="F44" s="3" t="str">
        <f t="shared" si="3"/>
        <v/>
      </c>
      <c r="G44" s="3" t="str">
        <f t="shared" si="6"/>
        <v/>
      </c>
      <c r="H44" s="8" t="str">
        <f t="shared" si="10"/>
        <v/>
      </c>
      <c r="I44" s="11"/>
      <c r="J44" s="25">
        <f t="shared" si="7"/>
        <v>0</v>
      </c>
      <c r="K44" s="25">
        <f t="shared" si="7"/>
        <v>0</v>
      </c>
      <c r="L44" s="25">
        <f t="shared" si="7"/>
        <v>0</v>
      </c>
      <c r="M44" s="25">
        <f t="shared" si="8"/>
        <v>0</v>
      </c>
      <c r="N44" s="25">
        <f t="shared" si="8"/>
        <v>0</v>
      </c>
      <c r="O44" s="25">
        <f t="shared" si="8"/>
        <v>0</v>
      </c>
      <c r="P44" t="s">
        <v>108</v>
      </c>
      <c r="Q44" s="17" t="e">
        <f>VLOOKUP($P44,Table1[#All],MATCH(Q$8,Table1[#Headers],0),FALSE)</f>
        <v>#N/A</v>
      </c>
      <c r="R44" s="17" t="e">
        <f>VLOOKUP($P44,Table1[#All],MATCH(R$8,Table1[#Headers],0),FALSE)</f>
        <v>#N/A</v>
      </c>
      <c r="S44" s="17" t="e">
        <f>VLOOKUP($P44,Table1[#All],MATCH(S$8,Table1[#Headers],0),FALSE)</f>
        <v>#N/A</v>
      </c>
      <c r="T44" s="17" t="e">
        <f>VLOOKUP($P44,Table1[#All],MATCH(T$8,Table1[#Headers],0),FALSE)</f>
        <v>#N/A</v>
      </c>
      <c r="U44" s="17" t="e">
        <f>VLOOKUP($P44,Table1[#All],MATCH(U$8,Table1[#Headers],0),FALSE)</f>
        <v>#N/A</v>
      </c>
      <c r="V44" s="3">
        <v>1</v>
      </c>
      <c r="W44" s="3" t="e">
        <f t="shared" si="11"/>
        <v>#N/A</v>
      </c>
      <c r="X44" s="3" t="e">
        <f t="shared" si="11"/>
        <v>#N/A</v>
      </c>
      <c r="Z44" s="2" t="e">
        <f t="shared" si="0"/>
        <v>#N/A</v>
      </c>
    </row>
    <row r="45" spans="2:61" ht="16.5" hidden="1" thickTop="1" thickBot="1" x14ac:dyDescent="0.3">
      <c r="D45" s="3" t="str">
        <f t="shared" si="1"/>
        <v/>
      </c>
      <c r="E45" s="3" t="str">
        <f t="shared" si="2"/>
        <v/>
      </c>
      <c r="F45" s="3" t="e">
        <f t="shared" si="3"/>
        <v>#N/A</v>
      </c>
      <c r="G45" s="3" t="e">
        <f t="shared" si="6"/>
        <v>#N/A</v>
      </c>
      <c r="H45" s="8" t="e">
        <f t="shared" si="10"/>
        <v>#N/A</v>
      </c>
      <c r="I45" s="11"/>
      <c r="J45" s="25">
        <f t="shared" si="7"/>
        <v>0</v>
      </c>
      <c r="K45" s="25">
        <f t="shared" si="7"/>
        <v>0</v>
      </c>
      <c r="L45" s="25">
        <f t="shared" si="7"/>
        <v>0</v>
      </c>
      <c r="M45" s="25">
        <f t="shared" si="8"/>
        <v>0</v>
      </c>
      <c r="N45" s="25">
        <f t="shared" si="8"/>
        <v>0</v>
      </c>
      <c r="O45" s="25">
        <f t="shared" si="8"/>
        <v>0</v>
      </c>
      <c r="P45" t="s">
        <v>109</v>
      </c>
      <c r="Q45" s="17" t="e">
        <f>VLOOKUP($P45,Table1[#All],MATCH(Q$8,Table1[#Headers],0),FALSE)</f>
        <v>#N/A</v>
      </c>
      <c r="R45" s="17" t="e">
        <f>VLOOKUP($P45,Table1[#All],MATCH(R$8,Table1[#Headers],0),FALSE)</f>
        <v>#N/A</v>
      </c>
      <c r="S45" s="17" t="e">
        <f>VLOOKUP($P45,Table1[#All],MATCH(S$8,Table1[#Headers],0),FALSE)</f>
        <v>#N/A</v>
      </c>
      <c r="T45" s="17" t="e">
        <f>VLOOKUP($P45,Table1[#All],MATCH(T$8,Table1[#Headers],0),FALSE)</f>
        <v>#N/A</v>
      </c>
      <c r="U45" s="17" t="e">
        <f>VLOOKUP($P45,Table1[#All],MATCH(U$8,Table1[#Headers],0),FALSE)</f>
        <v>#N/A</v>
      </c>
      <c r="V45" s="3">
        <v>0</v>
      </c>
      <c r="W45" s="3" t="e">
        <f t="shared" si="11"/>
        <v>#N/A</v>
      </c>
      <c r="X45" s="3" t="e">
        <f t="shared" si="11"/>
        <v>#N/A</v>
      </c>
      <c r="Z45" s="2" t="e">
        <f t="shared" si="0"/>
        <v>#N/A</v>
      </c>
    </row>
    <row r="46" spans="2:61" ht="16.5" hidden="1" thickTop="1" thickBot="1" x14ac:dyDescent="0.3">
      <c r="D46" s="3" t="e">
        <f t="shared" si="1"/>
        <v>#N/A</v>
      </c>
      <c r="E46" s="3" t="e">
        <f t="shared" si="2"/>
        <v>#N/A</v>
      </c>
      <c r="F46" s="3" t="str">
        <f t="shared" si="3"/>
        <v/>
      </c>
      <c r="G46" s="3" t="str">
        <f t="shared" si="6"/>
        <v/>
      </c>
      <c r="H46" s="8" t="str">
        <f t="shared" si="10"/>
        <v/>
      </c>
      <c r="I46" s="11"/>
      <c r="J46" s="25">
        <f t="shared" si="7"/>
        <v>0</v>
      </c>
      <c r="K46" s="25">
        <f t="shared" si="7"/>
        <v>0</v>
      </c>
      <c r="L46" s="25">
        <f t="shared" si="7"/>
        <v>0</v>
      </c>
      <c r="M46" s="25">
        <f t="shared" si="8"/>
        <v>0</v>
      </c>
      <c r="N46" s="25">
        <f t="shared" si="8"/>
        <v>0</v>
      </c>
      <c r="O46" s="25">
        <f t="shared" si="8"/>
        <v>0</v>
      </c>
      <c r="P46" t="s">
        <v>110</v>
      </c>
      <c r="Q46" s="17" t="e">
        <f>VLOOKUP($P46,Table1[#All],MATCH(Q$8,Table1[#Headers],0),FALSE)</f>
        <v>#N/A</v>
      </c>
      <c r="R46" s="17" t="e">
        <f>VLOOKUP($P46,Table1[#All],MATCH(R$8,Table1[#Headers],0),FALSE)</f>
        <v>#N/A</v>
      </c>
      <c r="S46" s="17" t="e">
        <f>VLOOKUP($P46,Table1[#All],MATCH(S$8,Table1[#Headers],0),FALSE)</f>
        <v>#N/A</v>
      </c>
      <c r="T46" s="17" t="e">
        <f>VLOOKUP($P46,Table1[#All],MATCH(T$8,Table1[#Headers],0),FALSE)</f>
        <v>#N/A</v>
      </c>
      <c r="U46" s="17" t="e">
        <f>VLOOKUP($P46,Table1[#All],MATCH(U$8,Table1[#Headers],0),FALSE)</f>
        <v>#N/A</v>
      </c>
      <c r="V46" s="3">
        <v>1</v>
      </c>
      <c r="W46" s="3" t="e">
        <f t="shared" si="11"/>
        <v>#N/A</v>
      </c>
      <c r="X46" s="3" t="e">
        <f t="shared" si="11"/>
        <v>#N/A</v>
      </c>
      <c r="Z46" s="2" t="e">
        <f t="shared" si="0"/>
        <v>#N/A</v>
      </c>
    </row>
    <row r="47" spans="2:61" ht="16.5" hidden="1" thickTop="1" thickBot="1" x14ac:dyDescent="0.3">
      <c r="D47" s="3" t="str">
        <f t="shared" si="1"/>
        <v/>
      </c>
      <c r="E47" s="3" t="str">
        <f t="shared" si="2"/>
        <v/>
      </c>
      <c r="F47" s="3" t="e">
        <f t="shared" si="3"/>
        <v>#N/A</v>
      </c>
      <c r="G47" s="3" t="e">
        <f t="shared" si="6"/>
        <v>#N/A</v>
      </c>
      <c r="H47" s="8" t="e">
        <f t="shared" si="10"/>
        <v>#N/A</v>
      </c>
      <c r="I47" s="11"/>
      <c r="J47" s="25">
        <f t="shared" si="7"/>
        <v>0</v>
      </c>
      <c r="K47" s="25">
        <f t="shared" si="7"/>
        <v>0</v>
      </c>
      <c r="L47" s="25">
        <f t="shared" si="7"/>
        <v>0</v>
      </c>
      <c r="M47" s="25">
        <f t="shared" si="8"/>
        <v>0</v>
      </c>
      <c r="N47" s="25">
        <f t="shared" si="8"/>
        <v>0</v>
      </c>
      <c r="O47" s="25">
        <f t="shared" si="8"/>
        <v>0</v>
      </c>
      <c r="P47" t="s">
        <v>111</v>
      </c>
      <c r="Q47" s="17" t="e">
        <f>VLOOKUP($P47,Table1[#All],MATCH(Q$8,Table1[#Headers],0),FALSE)</f>
        <v>#N/A</v>
      </c>
      <c r="R47" s="17" t="e">
        <f>VLOOKUP($P47,Table1[#All],MATCH(R$8,Table1[#Headers],0),FALSE)</f>
        <v>#N/A</v>
      </c>
      <c r="S47" s="17" t="e">
        <f>VLOOKUP($P47,Table1[#All],MATCH(S$8,Table1[#Headers],0),FALSE)</f>
        <v>#N/A</v>
      </c>
      <c r="T47" s="17" t="e">
        <f>VLOOKUP($P47,Table1[#All],MATCH(T$8,Table1[#Headers],0),FALSE)</f>
        <v>#N/A</v>
      </c>
      <c r="U47" s="17" t="e">
        <f>VLOOKUP($P47,Table1[#All],MATCH(U$8,Table1[#Headers],0),FALSE)</f>
        <v>#N/A</v>
      </c>
      <c r="V47" s="3">
        <v>0</v>
      </c>
      <c r="W47" s="3" t="e">
        <f t="shared" si="11"/>
        <v>#N/A</v>
      </c>
      <c r="X47" s="3" t="e">
        <f t="shared" si="11"/>
        <v>#N/A</v>
      </c>
      <c r="Z47" s="2" t="e">
        <f t="shared" si="0"/>
        <v>#N/A</v>
      </c>
    </row>
    <row r="48" spans="2:61" ht="16.5" hidden="1" thickTop="1" thickBot="1" x14ac:dyDescent="0.3">
      <c r="D48" s="3" t="e">
        <f t="shared" si="1"/>
        <v>#N/A</v>
      </c>
      <c r="E48" s="3" t="e">
        <f t="shared" si="2"/>
        <v>#N/A</v>
      </c>
      <c r="F48" s="3" t="str">
        <f t="shared" si="3"/>
        <v/>
      </c>
      <c r="G48" s="3" t="str">
        <f t="shared" si="6"/>
        <v/>
      </c>
      <c r="H48" s="8" t="str">
        <f t="shared" si="10"/>
        <v/>
      </c>
      <c r="I48" s="11"/>
      <c r="J48" s="25">
        <f t="shared" si="7"/>
        <v>0</v>
      </c>
      <c r="K48" s="25">
        <f t="shared" si="7"/>
        <v>0</v>
      </c>
      <c r="L48" s="25">
        <f t="shared" si="7"/>
        <v>0</v>
      </c>
      <c r="M48" s="25">
        <f t="shared" si="8"/>
        <v>0</v>
      </c>
      <c r="N48" s="25">
        <f t="shared" si="8"/>
        <v>0</v>
      </c>
      <c r="O48" s="25">
        <f t="shared" si="8"/>
        <v>0</v>
      </c>
      <c r="P48" t="s">
        <v>112</v>
      </c>
      <c r="Q48" s="17" t="e">
        <f>VLOOKUP($P48,Table1[#All],MATCH(Q$8,Table1[#Headers],0),FALSE)</f>
        <v>#N/A</v>
      </c>
      <c r="R48" s="17" t="e">
        <f>VLOOKUP($P48,Table1[#All],MATCH(R$8,Table1[#Headers],0),FALSE)</f>
        <v>#N/A</v>
      </c>
      <c r="S48" s="17" t="e">
        <f>VLOOKUP($P48,Table1[#All],MATCH(S$8,Table1[#Headers],0),FALSE)</f>
        <v>#N/A</v>
      </c>
      <c r="T48" s="17" t="e">
        <f>VLOOKUP($P48,Table1[#All],MATCH(T$8,Table1[#Headers],0),FALSE)</f>
        <v>#N/A</v>
      </c>
      <c r="U48" s="17" t="e">
        <f>VLOOKUP($P48,Table1[#All],MATCH(U$8,Table1[#Headers],0),FALSE)</f>
        <v>#N/A</v>
      </c>
      <c r="V48" s="3">
        <v>1</v>
      </c>
      <c r="W48" s="3" t="e">
        <f t="shared" si="11"/>
        <v>#N/A</v>
      </c>
      <c r="X48" s="3" t="e">
        <f t="shared" si="11"/>
        <v>#N/A</v>
      </c>
      <c r="Z48" s="2" t="e">
        <f t="shared" si="0"/>
        <v>#N/A</v>
      </c>
    </row>
    <row r="49" spans="1:61" ht="16.5" hidden="1" thickTop="1" thickBot="1" x14ac:dyDescent="0.3">
      <c r="D49" s="3" t="str">
        <f t="shared" si="1"/>
        <v/>
      </c>
      <c r="E49" s="3" t="str">
        <f t="shared" si="2"/>
        <v/>
      </c>
      <c r="F49" s="3" t="e">
        <f t="shared" si="3"/>
        <v>#N/A</v>
      </c>
      <c r="G49" s="3" t="e">
        <f t="shared" si="6"/>
        <v>#N/A</v>
      </c>
      <c r="H49" s="8" t="e">
        <f t="shared" si="10"/>
        <v>#N/A</v>
      </c>
      <c r="I49" s="11"/>
      <c r="J49" s="25">
        <f t="shared" si="7"/>
        <v>0</v>
      </c>
      <c r="K49" s="25">
        <f t="shared" si="7"/>
        <v>0</v>
      </c>
      <c r="L49" s="25">
        <f t="shared" si="7"/>
        <v>0</v>
      </c>
      <c r="M49" s="25">
        <f t="shared" si="8"/>
        <v>0</v>
      </c>
      <c r="N49" s="25">
        <f t="shared" si="8"/>
        <v>0</v>
      </c>
      <c r="O49" s="25">
        <f t="shared" si="8"/>
        <v>0</v>
      </c>
      <c r="P49" t="s">
        <v>113</v>
      </c>
      <c r="Q49" s="17" t="e">
        <f>VLOOKUP($P49,Table1[#All],MATCH(Q$8,Table1[#Headers],0),FALSE)</f>
        <v>#N/A</v>
      </c>
      <c r="R49" s="17" t="e">
        <f>VLOOKUP($P49,Table1[#All],MATCH(R$8,Table1[#Headers],0),FALSE)</f>
        <v>#N/A</v>
      </c>
      <c r="S49" s="17" t="e">
        <f>VLOOKUP($P49,Table1[#All],MATCH(S$8,Table1[#Headers],0),FALSE)</f>
        <v>#N/A</v>
      </c>
      <c r="T49" s="17" t="e">
        <f>VLOOKUP($P49,Table1[#All],MATCH(T$8,Table1[#Headers],0),FALSE)</f>
        <v>#N/A</v>
      </c>
      <c r="U49" s="17" t="e">
        <f>VLOOKUP($P49,Table1[#All],MATCH(U$8,Table1[#Headers],0),FALSE)</f>
        <v>#N/A</v>
      </c>
      <c r="V49" s="3">
        <v>0</v>
      </c>
      <c r="W49" s="3" t="e">
        <f t="shared" si="11"/>
        <v>#N/A</v>
      </c>
      <c r="X49" s="3" t="e">
        <f t="shared" si="11"/>
        <v>#N/A</v>
      </c>
      <c r="Z49" s="2" t="e">
        <f t="shared" si="0"/>
        <v>#N/A</v>
      </c>
    </row>
    <row r="50" spans="1:61" ht="16.5" hidden="1" thickTop="1" thickBot="1" x14ac:dyDescent="0.3">
      <c r="D50" s="3" t="e">
        <f t="shared" si="1"/>
        <v>#N/A</v>
      </c>
      <c r="E50" s="3" t="e">
        <f t="shared" si="2"/>
        <v>#N/A</v>
      </c>
      <c r="F50" s="3" t="str">
        <f t="shared" si="3"/>
        <v/>
      </c>
      <c r="G50" s="3" t="str">
        <f t="shared" si="6"/>
        <v/>
      </c>
      <c r="H50" s="8" t="str">
        <f t="shared" si="10"/>
        <v/>
      </c>
      <c r="I50" s="11"/>
      <c r="J50" s="25">
        <f t="shared" si="7"/>
        <v>0</v>
      </c>
      <c r="K50" s="25">
        <f t="shared" si="7"/>
        <v>0</v>
      </c>
      <c r="L50" s="25">
        <f t="shared" si="7"/>
        <v>0</v>
      </c>
      <c r="M50" s="25">
        <f t="shared" si="8"/>
        <v>0</v>
      </c>
      <c r="N50" s="25">
        <f t="shared" si="8"/>
        <v>0</v>
      </c>
      <c r="O50" s="25">
        <f t="shared" si="8"/>
        <v>0</v>
      </c>
      <c r="P50" t="s">
        <v>114</v>
      </c>
      <c r="Q50" s="17" t="e">
        <f>VLOOKUP($P50,Table1[#All],MATCH(Q$8,Table1[#Headers],0),FALSE)</f>
        <v>#N/A</v>
      </c>
      <c r="R50" s="17" t="e">
        <f>VLOOKUP($P50,Table1[#All],MATCH(R$8,Table1[#Headers],0),FALSE)</f>
        <v>#N/A</v>
      </c>
      <c r="S50" s="17" t="e">
        <f>VLOOKUP($P50,Table1[#All],MATCH(S$8,Table1[#Headers],0),FALSE)</f>
        <v>#N/A</v>
      </c>
      <c r="T50" s="17" t="e">
        <f>VLOOKUP($P50,Table1[#All],MATCH(T$8,Table1[#Headers],0),FALSE)</f>
        <v>#N/A</v>
      </c>
      <c r="U50" s="17" t="e">
        <f>VLOOKUP($P50,Table1[#All],MATCH(U$8,Table1[#Headers],0),FALSE)</f>
        <v>#N/A</v>
      </c>
      <c r="V50" s="3">
        <v>1</v>
      </c>
      <c r="W50" s="3" t="e">
        <f t="shared" si="11"/>
        <v>#N/A</v>
      </c>
      <c r="X50" s="3" t="e">
        <f t="shared" si="11"/>
        <v>#N/A</v>
      </c>
      <c r="Z50" s="2" t="e">
        <f t="shared" si="0"/>
        <v>#N/A</v>
      </c>
    </row>
    <row r="51" spans="1:61" ht="16.5" hidden="1" thickTop="1" thickBot="1" x14ac:dyDescent="0.3">
      <c r="D51" s="3" t="str">
        <f t="shared" si="1"/>
        <v/>
      </c>
      <c r="E51" s="3" t="str">
        <f t="shared" si="2"/>
        <v/>
      </c>
      <c r="F51" s="3" t="e">
        <f t="shared" si="3"/>
        <v>#N/A</v>
      </c>
      <c r="G51" s="3" t="e">
        <f t="shared" si="6"/>
        <v>#N/A</v>
      </c>
      <c r="H51" s="8" t="e">
        <f t="shared" si="10"/>
        <v>#N/A</v>
      </c>
      <c r="I51" s="11"/>
      <c r="J51" s="25">
        <f t="shared" si="7"/>
        <v>0</v>
      </c>
      <c r="K51" s="25">
        <f t="shared" si="7"/>
        <v>0</v>
      </c>
      <c r="L51" s="25">
        <f t="shared" si="7"/>
        <v>0</v>
      </c>
      <c r="M51" s="25">
        <f t="shared" si="8"/>
        <v>0</v>
      </c>
      <c r="N51" s="25">
        <f t="shared" si="8"/>
        <v>0</v>
      </c>
      <c r="O51" s="25">
        <f t="shared" si="8"/>
        <v>0</v>
      </c>
      <c r="P51" t="s">
        <v>115</v>
      </c>
      <c r="Q51" s="17" t="e">
        <f>VLOOKUP($P51,Table1[#All],MATCH(Q$8,Table1[#Headers],0),FALSE)</f>
        <v>#N/A</v>
      </c>
      <c r="R51" s="17" t="e">
        <f>VLOOKUP($P51,Table1[#All],MATCH(R$8,Table1[#Headers],0),FALSE)</f>
        <v>#N/A</v>
      </c>
      <c r="S51" s="17" t="e">
        <f>VLOOKUP($P51,Table1[#All],MATCH(S$8,Table1[#Headers],0),FALSE)</f>
        <v>#N/A</v>
      </c>
      <c r="T51" s="17" t="e">
        <f>VLOOKUP($P51,Table1[#All],MATCH(T$8,Table1[#Headers],0),FALSE)</f>
        <v>#N/A</v>
      </c>
      <c r="U51" s="17" t="e">
        <f>VLOOKUP($P51,Table1[#All],MATCH(U$8,Table1[#Headers],0),FALSE)</f>
        <v>#N/A</v>
      </c>
      <c r="V51" s="3">
        <v>0</v>
      </c>
      <c r="W51" s="3" t="e">
        <f t="shared" si="11"/>
        <v>#N/A</v>
      </c>
      <c r="X51" s="3" t="e">
        <f t="shared" si="11"/>
        <v>#N/A</v>
      </c>
      <c r="Z51" s="2" t="e">
        <f t="shared" si="0"/>
        <v>#N/A</v>
      </c>
    </row>
    <row r="52" spans="1:61" ht="16.5" hidden="1" thickTop="1" thickBot="1" x14ac:dyDescent="0.3">
      <c r="D52" s="3" t="e">
        <f t="shared" si="1"/>
        <v>#N/A</v>
      </c>
      <c r="E52" s="3" t="e">
        <f t="shared" si="2"/>
        <v>#N/A</v>
      </c>
      <c r="F52" s="3" t="str">
        <f t="shared" si="3"/>
        <v/>
      </c>
      <c r="G52" s="3" t="str">
        <f t="shared" si="6"/>
        <v/>
      </c>
      <c r="H52" s="8" t="str">
        <f t="shared" si="10"/>
        <v/>
      </c>
      <c r="I52" s="11"/>
      <c r="J52" s="25">
        <f t="shared" si="7"/>
        <v>0</v>
      </c>
      <c r="K52" s="25">
        <f t="shared" si="7"/>
        <v>0</v>
      </c>
      <c r="L52" s="25">
        <f t="shared" si="7"/>
        <v>0</v>
      </c>
      <c r="M52" s="25">
        <f t="shared" si="8"/>
        <v>0</v>
      </c>
      <c r="N52" s="25">
        <f t="shared" si="8"/>
        <v>0</v>
      </c>
      <c r="O52" s="25">
        <f t="shared" si="8"/>
        <v>0</v>
      </c>
      <c r="P52" t="s">
        <v>116</v>
      </c>
      <c r="Q52" s="17" t="e">
        <f>VLOOKUP($P52,Table1[#All],MATCH(Q$8,Table1[#Headers],0),FALSE)</f>
        <v>#N/A</v>
      </c>
      <c r="R52" s="17" t="e">
        <f>VLOOKUP($P52,Table1[#All],MATCH(R$8,Table1[#Headers],0),FALSE)</f>
        <v>#N/A</v>
      </c>
      <c r="S52" s="17" t="e">
        <f>VLOOKUP($P52,Table1[#All],MATCH(S$8,Table1[#Headers],0),FALSE)</f>
        <v>#N/A</v>
      </c>
      <c r="T52" s="17" t="e">
        <f>VLOOKUP($P52,Table1[#All],MATCH(T$8,Table1[#Headers],0),FALSE)</f>
        <v>#N/A</v>
      </c>
      <c r="U52" s="17" t="e">
        <f>VLOOKUP($P52,Table1[#All],MATCH(U$8,Table1[#Headers],0),FALSE)</f>
        <v>#N/A</v>
      </c>
      <c r="V52" s="3">
        <v>1</v>
      </c>
      <c r="W52" s="3" t="e">
        <f t="shared" si="11"/>
        <v>#N/A</v>
      </c>
      <c r="X52" s="3" t="e">
        <f t="shared" si="11"/>
        <v>#N/A</v>
      </c>
      <c r="Z52" s="2" t="e">
        <f t="shared" si="0"/>
        <v>#N/A</v>
      </c>
    </row>
    <row r="53" spans="1:61" ht="16.5" hidden="1" thickTop="1" thickBot="1" x14ac:dyDescent="0.3">
      <c r="D53" s="3" t="str">
        <f t="shared" si="1"/>
        <v/>
      </c>
      <c r="E53" s="3" t="str">
        <f t="shared" si="2"/>
        <v/>
      </c>
      <c r="F53" s="3" t="e">
        <f t="shared" si="3"/>
        <v>#N/A</v>
      </c>
      <c r="G53" s="3" t="e">
        <f t="shared" si="6"/>
        <v>#N/A</v>
      </c>
      <c r="H53" s="8" t="e">
        <f t="shared" si="10"/>
        <v>#N/A</v>
      </c>
      <c r="I53" s="11"/>
      <c r="J53" s="25">
        <f t="shared" si="7"/>
        <v>0</v>
      </c>
      <c r="K53" s="25">
        <f t="shared" si="7"/>
        <v>0</v>
      </c>
      <c r="L53" s="25">
        <f t="shared" si="7"/>
        <v>0</v>
      </c>
      <c r="M53" s="25">
        <f t="shared" si="8"/>
        <v>0</v>
      </c>
      <c r="N53" s="25">
        <f t="shared" si="8"/>
        <v>0</v>
      </c>
      <c r="O53" s="25">
        <f t="shared" si="8"/>
        <v>0</v>
      </c>
      <c r="P53" t="s">
        <v>117</v>
      </c>
      <c r="Q53" s="17" t="e">
        <f>VLOOKUP($P53,Table1[#All],MATCH(Q$8,Table1[#Headers],0),FALSE)</f>
        <v>#N/A</v>
      </c>
      <c r="R53" s="17" t="e">
        <f>VLOOKUP($P53,Table1[#All],MATCH(R$8,Table1[#Headers],0),FALSE)</f>
        <v>#N/A</v>
      </c>
      <c r="S53" s="17" t="e">
        <f>VLOOKUP($P53,Table1[#All],MATCH(S$8,Table1[#Headers],0),FALSE)</f>
        <v>#N/A</v>
      </c>
      <c r="T53" s="17" t="e">
        <f>VLOOKUP($P53,Table1[#All],MATCH(T$8,Table1[#Headers],0),FALSE)</f>
        <v>#N/A</v>
      </c>
      <c r="U53" s="17" t="e">
        <f>VLOOKUP($P53,Table1[#All],MATCH(U$8,Table1[#Headers],0),FALSE)</f>
        <v>#N/A</v>
      </c>
      <c r="V53" s="3">
        <v>0</v>
      </c>
      <c r="W53" s="3" t="e">
        <f t="shared" si="11"/>
        <v>#N/A</v>
      </c>
      <c r="X53" s="3" t="e">
        <f t="shared" si="11"/>
        <v>#N/A</v>
      </c>
      <c r="Z53" s="2" t="e">
        <f t="shared" si="0"/>
        <v>#N/A</v>
      </c>
    </row>
    <row r="54" spans="1:61" ht="16.5" hidden="1" thickTop="1" thickBot="1" x14ac:dyDescent="0.3">
      <c r="D54" s="3" t="e">
        <f t="shared" si="1"/>
        <v>#N/A</v>
      </c>
      <c r="E54" s="3" t="e">
        <f t="shared" si="2"/>
        <v>#N/A</v>
      </c>
      <c r="F54" s="3" t="str">
        <f t="shared" si="3"/>
        <v/>
      </c>
      <c r="G54" s="3" t="str">
        <f t="shared" si="6"/>
        <v/>
      </c>
      <c r="H54" s="8" t="str">
        <f t="shared" si="10"/>
        <v/>
      </c>
      <c r="I54" s="11"/>
      <c r="J54" s="25">
        <f t="shared" si="7"/>
        <v>0</v>
      </c>
      <c r="K54" s="25">
        <f t="shared" si="7"/>
        <v>0</v>
      </c>
      <c r="L54" s="25">
        <f t="shared" si="7"/>
        <v>0</v>
      </c>
      <c r="M54" s="25">
        <f t="shared" si="8"/>
        <v>0</v>
      </c>
      <c r="N54" s="25">
        <f t="shared" si="8"/>
        <v>0</v>
      </c>
      <c r="O54" s="25">
        <f t="shared" si="8"/>
        <v>0</v>
      </c>
      <c r="P54" t="s">
        <v>118</v>
      </c>
      <c r="Q54" s="17" t="e">
        <f>VLOOKUP($P54,Table1[#All],MATCH(Q$8,Table1[#Headers],0),FALSE)</f>
        <v>#N/A</v>
      </c>
      <c r="R54" s="17" t="e">
        <f>VLOOKUP($P54,Table1[#All],MATCH(R$8,Table1[#Headers],0),FALSE)</f>
        <v>#N/A</v>
      </c>
      <c r="S54" s="17" t="e">
        <f>VLOOKUP($P54,Table1[#All],MATCH(S$8,Table1[#Headers],0),FALSE)</f>
        <v>#N/A</v>
      </c>
      <c r="T54" s="17" t="e">
        <f>VLOOKUP($P54,Table1[#All],MATCH(T$8,Table1[#Headers],0),FALSE)</f>
        <v>#N/A</v>
      </c>
      <c r="U54" s="17" t="e">
        <f>VLOOKUP($P54,Table1[#All],MATCH(U$8,Table1[#Headers],0),FALSE)</f>
        <v>#N/A</v>
      </c>
      <c r="V54" s="3">
        <v>1</v>
      </c>
      <c r="W54" s="3" t="e">
        <f t="shared" si="11"/>
        <v>#N/A</v>
      </c>
      <c r="X54" s="3" t="e">
        <f t="shared" si="11"/>
        <v>#N/A</v>
      </c>
      <c r="Z54" s="2" t="e">
        <f t="shared" si="0"/>
        <v>#N/A</v>
      </c>
    </row>
    <row r="55" spans="1:61" s="5" customFormat="1" ht="15.75" thickTop="1" x14ac:dyDescent="0.25">
      <c r="B55" s="5" t="s">
        <v>127</v>
      </c>
      <c r="C55" s="5" t="s">
        <v>418</v>
      </c>
      <c r="D55" s="6" t="str">
        <f t="shared" si="1"/>
        <v/>
      </c>
      <c r="E55" s="6" t="str">
        <f t="shared" si="2"/>
        <v/>
      </c>
      <c r="F55" s="6">
        <f t="shared" si="3"/>
        <v>0</v>
      </c>
      <c r="G55" s="6">
        <f t="shared" si="6"/>
        <v>0</v>
      </c>
      <c r="H55" s="8" t="str">
        <f t="shared" si="10"/>
        <v/>
      </c>
      <c r="I55" s="8"/>
      <c r="J55" s="24">
        <f t="shared" si="7"/>
        <v>0</v>
      </c>
      <c r="K55" s="24">
        <f t="shared" si="7"/>
        <v>0</v>
      </c>
      <c r="L55" s="24">
        <f t="shared" si="7"/>
        <v>0</v>
      </c>
      <c r="M55" s="24">
        <f t="shared" si="8"/>
        <v>0</v>
      </c>
      <c r="N55" s="24">
        <f t="shared" si="8"/>
        <v>0</v>
      </c>
      <c r="O55" s="24">
        <f t="shared" si="8"/>
        <v>0</v>
      </c>
      <c r="P55" s="5" t="s">
        <v>237</v>
      </c>
      <c r="Q55" s="16">
        <f>VLOOKUP($P55,Table1[#All],MATCH(Q$8,Table1[#Headers],0),FALSE)</f>
        <v>0</v>
      </c>
      <c r="R55" s="16">
        <f>VLOOKUP($P55,Table1[#All],MATCH(R$8,Table1[#Headers],0),FALSE)</f>
        <v>0</v>
      </c>
      <c r="S55" s="16">
        <f>VLOOKUP($P55,Table1[#All],MATCH(S$8,Table1[#Headers],0),FALSE)</f>
        <v>0</v>
      </c>
      <c r="T55" s="16">
        <f>VLOOKUP($P55,Table1[#All],MATCH(T$8,Table1[#Headers],0),FALSE)</f>
        <v>0</v>
      </c>
      <c r="U55" s="16">
        <f>VLOOKUP($P55,Table1[#All],MATCH(U$8,Table1[#Headers],0),FALSE)</f>
        <v>0</v>
      </c>
      <c r="V55" s="6">
        <v>0</v>
      </c>
      <c r="W55" s="6" t="e">
        <f t="shared" si="11"/>
        <v>#N/A</v>
      </c>
      <c r="X55" s="6" t="e">
        <f t="shared" si="11"/>
        <v>#N/A</v>
      </c>
      <c r="Y55" s="7"/>
      <c r="Z55" s="2">
        <f t="shared" si="0"/>
        <v>0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5.75" thickBot="1" x14ac:dyDescent="0.3">
      <c r="D56" s="3" t="str">
        <f t="shared" si="1"/>
        <v/>
      </c>
      <c r="E56" s="3" t="str">
        <f t="shared" si="2"/>
        <v/>
      </c>
      <c r="F56" s="3" t="str">
        <f t="shared" si="3"/>
        <v/>
      </c>
      <c r="G56" s="3" t="str">
        <f t="shared" si="6"/>
        <v/>
      </c>
      <c r="H56" s="9" t="str">
        <f t="shared" si="10"/>
        <v/>
      </c>
      <c r="J56" s="23">
        <f t="shared" si="7"/>
        <v>0</v>
      </c>
      <c r="K56" s="23">
        <f t="shared" si="7"/>
        <v>0</v>
      </c>
      <c r="L56" s="23">
        <f t="shared" si="7"/>
        <v>0</v>
      </c>
      <c r="M56" s="23">
        <f t="shared" si="8"/>
        <v>0</v>
      </c>
      <c r="N56" s="23">
        <f t="shared" si="8"/>
        <v>0</v>
      </c>
      <c r="O56" s="3">
        <f t="shared" si="8"/>
        <v>0</v>
      </c>
      <c r="P56" t="s">
        <v>238</v>
      </c>
      <c r="Q56" s="17">
        <f>VLOOKUP($P56,Table1[#All],MATCH(Q$8,Table1[#Headers],0),FALSE)</f>
        <v>0</v>
      </c>
      <c r="R56" s="17">
        <f>VLOOKUP($P56,Table1[#All],MATCH(R$8,Table1[#Headers],0),FALSE)</f>
        <v>0</v>
      </c>
      <c r="S56" s="17">
        <f>VLOOKUP($P56,Table1[#All],MATCH(S$8,Table1[#Headers],0),FALSE)</f>
        <v>0</v>
      </c>
      <c r="T56" s="17">
        <f>VLOOKUP($P56,Table1[#All],MATCH(T$8,Table1[#Headers],0),FALSE)</f>
        <v>0</v>
      </c>
      <c r="U56" s="17">
        <f>VLOOKUP($P56,Table1[#All],MATCH(U$8,Table1[#Headers],0),FALSE)</f>
        <v>0</v>
      </c>
      <c r="V56">
        <v>1</v>
      </c>
      <c r="W56" t="e">
        <f t="shared" si="11"/>
        <v>#DIV/0!</v>
      </c>
      <c r="X56" t="e">
        <f t="shared" si="11"/>
        <v>#DIV/0!</v>
      </c>
      <c r="Y56"/>
      <c r="Z56" s="2">
        <f t="shared" si="0"/>
        <v>0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</row>
    <row r="57" spans="1:61" s="5" customFormat="1" ht="15.75" thickTop="1" x14ac:dyDescent="0.25">
      <c r="B57" s="5" t="s">
        <v>421</v>
      </c>
      <c r="C57" s="5" t="s">
        <v>418</v>
      </c>
      <c r="D57" s="6" t="str">
        <f t="shared" ref="D57" si="12">IF(           AND(   $V57,             NOT(ISERR(W57))          ),W57,"")</f>
        <v/>
      </c>
      <c r="E57" s="6" t="str">
        <f t="shared" ref="E57" si="13">IF(           AND(   $V57,             NOT(ISERR(X57))          ),X57,"")</f>
        <v/>
      </c>
      <c r="F57" s="6">
        <f t="shared" ref="F57:F58" si="14">IF(NOT($V57),Q57,"")</f>
        <v>14.6952</v>
      </c>
      <c r="G57" s="6">
        <f t="shared" ref="G57:G58" si="15">IF(NOT($V57),Z57,"")</f>
        <v>14.6952</v>
      </c>
      <c r="H57" s="8">
        <f t="shared" ref="H57:H58" si="16">IF(AND(NOT($V57),G57),(G57-F57)/G57,"")</f>
        <v>0</v>
      </c>
      <c r="I57" s="8"/>
      <c r="J57" s="24">
        <f t="shared" si="7"/>
        <v>14.6952</v>
      </c>
      <c r="K57" s="24">
        <f t="shared" si="7"/>
        <v>0</v>
      </c>
      <c r="L57" s="24">
        <f t="shared" si="7"/>
        <v>0</v>
      </c>
      <c r="M57" s="24">
        <f t="shared" si="8"/>
        <v>14.6952</v>
      </c>
      <c r="N57" s="24">
        <f t="shared" si="8"/>
        <v>0</v>
      </c>
      <c r="O57" s="24">
        <f t="shared" si="8"/>
        <v>0</v>
      </c>
      <c r="P57" s="5" t="s">
        <v>294</v>
      </c>
      <c r="Q57" s="16">
        <f>VLOOKUP($P57,Table1[#All],MATCH(Q$8,Table1[#Headers],0),FALSE)</f>
        <v>14.6952</v>
      </c>
      <c r="R57" s="16">
        <f>VLOOKUP($P57,Table1[#All],MATCH(R$8,Table1[#Headers],0),FALSE)</f>
        <v>14.6952</v>
      </c>
      <c r="S57" s="16">
        <f>VLOOKUP($P57,Table1[#All],MATCH(S$8,Table1[#Headers],0),FALSE)</f>
        <v>14.6952</v>
      </c>
      <c r="T57" s="16">
        <f>VLOOKUP($P57,Table1[#All],MATCH(T$8,Table1[#Headers],0),FALSE)</f>
        <v>14.6952</v>
      </c>
      <c r="U57" s="16">
        <f>VLOOKUP($P57,Table1[#All],MATCH(U$8,Table1[#Headers],0),FALSE)</f>
        <v>14.6952</v>
      </c>
      <c r="V57" s="6">
        <v>0</v>
      </c>
      <c r="W57" s="6">
        <f t="shared" ref="W57:W58" si="17">Q56/Q57*1000*1000</f>
        <v>0</v>
      </c>
      <c r="X57" s="6">
        <f t="shared" ref="X57:X58" si="18">R56/R57*1000*1000</f>
        <v>0</v>
      </c>
      <c r="Y57" s="7"/>
      <c r="Z57" s="2">
        <f t="shared" ref="Z57:Z58" si="19">AVERAGE(R57:U57)</f>
        <v>14.6952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5.75" thickBot="1" x14ac:dyDescent="0.3">
      <c r="F58" s="3" t="str">
        <f t="shared" si="14"/>
        <v/>
      </c>
      <c r="G58" s="3" t="str">
        <f t="shared" si="15"/>
        <v/>
      </c>
      <c r="H58" s="9" t="str">
        <f t="shared" si="16"/>
        <v/>
      </c>
      <c r="J58" s="23">
        <f t="shared" si="7"/>
        <v>0</v>
      </c>
      <c r="K58" s="23">
        <f t="shared" si="7"/>
        <v>0</v>
      </c>
      <c r="L58" s="23">
        <f t="shared" si="7"/>
        <v>0</v>
      </c>
      <c r="M58" s="23">
        <f t="shared" si="8"/>
        <v>0</v>
      </c>
      <c r="N58" s="23">
        <f t="shared" si="8"/>
        <v>0</v>
      </c>
      <c r="O58" s="3">
        <f t="shared" si="8"/>
        <v>0</v>
      </c>
      <c r="Q58" s="17" t="e">
        <f>VLOOKUP($P58,Table1[#All],MATCH(Q$8,Table1[#Headers],0),FALSE)</f>
        <v>#N/A</v>
      </c>
      <c r="R58" s="17" t="e">
        <f>VLOOKUP($P58,Table1[#All],MATCH(R$8,Table1[#Headers],0),FALSE)</f>
        <v>#N/A</v>
      </c>
      <c r="S58" s="17" t="e">
        <f>VLOOKUP($P58,Table1[#All],MATCH(S$8,Table1[#Headers],0),FALSE)</f>
        <v>#N/A</v>
      </c>
      <c r="T58" s="17" t="e">
        <f>VLOOKUP($P58,Table1[#All],MATCH(T$8,Table1[#Headers],0),FALSE)</f>
        <v>#N/A</v>
      </c>
      <c r="U58" s="17" t="e">
        <f>VLOOKUP($P58,Table1[#All],MATCH(U$8,Table1[#Headers],0),FALSE)</f>
        <v>#N/A</v>
      </c>
      <c r="V58">
        <v>1</v>
      </c>
      <c r="W58" t="e">
        <f t="shared" si="17"/>
        <v>#N/A</v>
      </c>
      <c r="X58" t="e">
        <f t="shared" si="18"/>
        <v>#N/A</v>
      </c>
      <c r="Y58"/>
      <c r="Z58" s="2" t="e">
        <f t="shared" si="19"/>
        <v>#N/A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</row>
    <row r="59" spans="1:61" s="5" customFormat="1" ht="16.5" thickTop="1" thickBot="1" x14ac:dyDescent="0.3">
      <c r="D59" s="6"/>
      <c r="E59" s="6"/>
      <c r="F59" s="6"/>
      <c r="G59" s="6"/>
      <c r="H59" s="8"/>
      <c r="I59" s="8"/>
      <c r="J59" s="24"/>
      <c r="K59" s="24"/>
      <c r="L59" s="24"/>
      <c r="M59" s="24"/>
      <c r="N59" s="24"/>
      <c r="O59" s="8"/>
      <c r="Q59" s="16"/>
      <c r="R59" s="16"/>
      <c r="S59" s="16"/>
      <c r="T59" s="16"/>
      <c r="U59" s="16"/>
      <c r="V59" s="6"/>
      <c r="W59" s="6"/>
      <c r="X59" s="6"/>
      <c r="Y59" s="7"/>
      <c r="Z59" s="2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s="5" customFormat="1" ht="15.75" thickTop="1" x14ac:dyDescent="0.25">
      <c r="B60" s="5" t="s">
        <v>128</v>
      </c>
      <c r="D60" s="6" t="str">
        <f t="shared" ref="D60:E62" si="20">IF(           AND(   $V60,             NOT(ISERR(W60))          ),W60,"")</f>
        <v/>
      </c>
      <c r="E60" s="6" t="str">
        <f t="shared" si="20"/>
        <v/>
      </c>
      <c r="F60" s="6">
        <f>IF(NOT($V60),Q60,"")</f>
        <v>573.98646099999996</v>
      </c>
      <c r="G60" s="6">
        <f>IF(NOT($V60),Z60,"")</f>
        <v>677.12493524999991</v>
      </c>
      <c r="H60" s="8">
        <f>IF(AND(NOT($V60),G60),(G60-F60)/G60,"")</f>
        <v>0.15231823387499444</v>
      </c>
      <c r="I60" s="8"/>
      <c r="J60" s="24">
        <f>SUM(J13:J58)</f>
        <v>723.48557199999993</v>
      </c>
      <c r="K60" s="24">
        <f t="shared" ref="K60:O60" si="21">SUM(K13:K56)</f>
        <v>0</v>
      </c>
      <c r="L60" s="24">
        <f t="shared" si="21"/>
        <v>223.49296000000001</v>
      </c>
      <c r="M60" s="24">
        <f>SUM(M13:M58)</f>
        <v>825.15640174999987</v>
      </c>
      <c r="N60" s="24">
        <f t="shared" si="21"/>
        <v>0</v>
      </c>
      <c r="O60" s="24">
        <f t="shared" si="21"/>
        <v>506.43801875000003</v>
      </c>
      <c r="P60" s="5" t="s">
        <v>243</v>
      </c>
      <c r="Q60" s="16">
        <f>VLOOKUP($P60,Table1[#All],MATCH(Q$8,Table1[#Headers],0),FALSE)</f>
        <v>573.98646099999996</v>
      </c>
      <c r="R60" s="16">
        <f>VLOOKUP($P60,Table1[#All],MATCH(R$8,Table1[#Headers],0),FALSE)</f>
        <v>679.27641600000004</v>
      </c>
      <c r="S60" s="16">
        <f>VLOOKUP($P60,Table1[#All],MATCH(S$8,Table1[#Headers],0),FALSE)</f>
        <v>675.83293600000002</v>
      </c>
      <c r="T60" s="16">
        <f>VLOOKUP($P60,Table1[#All],MATCH(T$8,Table1[#Headers],0),FALSE)</f>
        <v>681.00370999999996</v>
      </c>
      <c r="U60" s="16">
        <f>VLOOKUP($P60,Table1[#All],MATCH(U$8,Table1[#Headers],0),FALSE)</f>
        <v>672.38667899999996</v>
      </c>
      <c r="V60" s="5">
        <v>0</v>
      </c>
      <c r="W60" s="5" t="e">
        <f>#REF!/Q60*1000*1000</f>
        <v>#REF!</v>
      </c>
      <c r="X60" s="5" t="e">
        <f>#REF!/R60*1000*1000</f>
        <v>#REF!</v>
      </c>
      <c r="Z60" s="7">
        <f>AVERAGE(R60:U60)</f>
        <v>677.12493524999991</v>
      </c>
    </row>
    <row r="61" spans="1:61" x14ac:dyDescent="0.25">
      <c r="B61" t="s">
        <v>129</v>
      </c>
      <c r="D61" s="3" t="str">
        <f t="shared" si="20"/>
        <v/>
      </c>
      <c r="E61" s="3" t="str">
        <f t="shared" si="20"/>
        <v/>
      </c>
      <c r="F61" s="3">
        <f>IF(NOT($V61),Q61,"")</f>
        <v>0</v>
      </c>
      <c r="G61" s="3">
        <f t="shared" si="6"/>
        <v>0</v>
      </c>
      <c r="H61" t="str">
        <f t="shared" si="10"/>
        <v/>
      </c>
      <c r="I61"/>
      <c r="J61" s="3"/>
      <c r="K61" s="3"/>
      <c r="L61" s="3"/>
      <c r="M61" s="3"/>
      <c r="N61" s="3"/>
      <c r="O61"/>
      <c r="P61" t="s">
        <v>245</v>
      </c>
      <c r="Q61" s="17">
        <f>VLOOKUP($P61,Table1[#All],MATCH(Q$8,Table1[#Headers],0),FALSE)</f>
        <v>0</v>
      </c>
      <c r="R61" s="17">
        <f>VLOOKUP($P61,Table1[#All],MATCH(R$8,Table1[#Headers],0),FALSE)</f>
        <v>0</v>
      </c>
      <c r="S61" s="17">
        <f>VLOOKUP($P61,Table1[#All],MATCH(S$8,Table1[#Headers],0),FALSE)</f>
        <v>0</v>
      </c>
      <c r="T61" s="17">
        <f>VLOOKUP($P61,Table1[#All],MATCH(T$8,Table1[#Headers],0),FALSE)</f>
        <v>0</v>
      </c>
      <c r="U61" s="17">
        <f>VLOOKUP($P61,Table1[#All],MATCH(U$8,Table1[#Headers],0),FALSE)</f>
        <v>0</v>
      </c>
      <c r="V61">
        <v>0</v>
      </c>
      <c r="W61" t="e">
        <f>#REF!/Q61*1000*1000</f>
        <v>#REF!</v>
      </c>
      <c r="X61" t="e">
        <f>#REF!/R61*1000*1000</f>
        <v>#REF!</v>
      </c>
      <c r="Y61"/>
      <c r="Z61" s="2">
        <f>AVERAGE(R61:U61)</f>
        <v>0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</row>
    <row r="62" spans="1:61" ht="15.75" thickBot="1" x14ac:dyDescent="0.3">
      <c r="B62" t="s">
        <v>130</v>
      </c>
      <c r="D62" s="3" t="str">
        <f t="shared" si="20"/>
        <v/>
      </c>
      <c r="E62" s="3" t="str">
        <f t="shared" si="20"/>
        <v/>
      </c>
      <c r="F62" s="3">
        <f>IF(NOT($V62),Q62,"")</f>
        <v>223.49296000000001</v>
      </c>
      <c r="G62" s="3">
        <f>IF(NOT($V62),Z62,"")</f>
        <v>506.43801875000003</v>
      </c>
      <c r="H62" s="9">
        <f t="shared" si="10"/>
        <v>0.55869632269783065</v>
      </c>
      <c r="O62"/>
      <c r="P62" t="s">
        <v>247</v>
      </c>
      <c r="Q62" s="17">
        <f>VLOOKUP($P62,Table1[#All],MATCH(Q$8,Table1[#Headers],0),FALSE)</f>
        <v>223.49296000000001</v>
      </c>
      <c r="R62" s="17">
        <f>VLOOKUP($P62,Table1[#All],MATCH(R$8,Table1[#Headers],0),FALSE)</f>
        <v>510.59310499999998</v>
      </c>
      <c r="S62" s="17">
        <f>VLOOKUP($P62,Table1[#All],MATCH(S$8,Table1[#Headers],0),FALSE)</f>
        <v>502.54258199999998</v>
      </c>
      <c r="T62" s="17">
        <f>VLOOKUP($P62,Table1[#All],MATCH(T$8,Table1[#Headers],0),FALSE)</f>
        <v>511.07352600000002</v>
      </c>
      <c r="U62" s="17">
        <f>VLOOKUP($P62,Table1[#All],MATCH(U$8,Table1[#Headers],0),FALSE)</f>
        <v>501.54286200000001</v>
      </c>
      <c r="V62">
        <v>0</v>
      </c>
      <c r="W62" t="e">
        <f>#REF!/Q62*1000*1000</f>
        <v>#REF!</v>
      </c>
      <c r="X62" t="e">
        <f>#REF!/R62*1000*1000</f>
        <v>#REF!</v>
      </c>
      <c r="Y62"/>
      <c r="Z62" s="2">
        <f>AVERAGE(R62:U62)</f>
        <v>506.43801875000003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</row>
    <row r="63" spans="1:61" s="5" customFormat="1" ht="15.75" thickTop="1" x14ac:dyDescent="0.25">
      <c r="D63" s="6"/>
      <c r="E63" s="6"/>
      <c r="F63" s="6"/>
      <c r="G63" s="6"/>
      <c r="H63" s="8"/>
      <c r="I63" s="8"/>
      <c r="J63" s="24"/>
      <c r="K63" s="24"/>
      <c r="L63" s="24"/>
      <c r="M63" s="24"/>
      <c r="N63" s="24"/>
      <c r="O63" s="8"/>
      <c r="Q63" s="6"/>
      <c r="R63" s="6"/>
      <c r="S63" s="7"/>
      <c r="T63" s="7"/>
      <c r="U63" s="7"/>
      <c r="V63" s="6"/>
      <c r="W63" s="6"/>
      <c r="X63" s="6"/>
      <c r="Y63" s="7"/>
      <c r="Z63" s="2" t="e">
        <f>AVERAGE(R63:U63)</f>
        <v>#DIV/0!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x14ac:dyDescent="0.25">
      <c r="A64" t="s">
        <v>422</v>
      </c>
      <c r="Q64"/>
      <c r="R64"/>
      <c r="S64"/>
      <c r="T64"/>
      <c r="U64"/>
      <c r="V64"/>
      <c r="W64"/>
      <c r="X64"/>
      <c r="Y64"/>
      <c r="Z64" s="2" t="e">
        <f>AVERAGE(R64:U64)</f>
        <v>#DIV/0!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</row>
    <row r="65" spans="2:61" x14ac:dyDescent="0.25">
      <c r="B65" t="s">
        <v>135</v>
      </c>
      <c r="D65" s="3" t="s">
        <v>0</v>
      </c>
      <c r="E65" t="str">
        <f>IF(F65=0,"N/A",IF(AND(F60/F65&gt;=0.95,F60/F65&gt;=1.05),"VALUES DON'T MATCH","OK"))</f>
        <v>OK</v>
      </c>
      <c r="F65" s="3">
        <f>J60</f>
        <v>723.48557199999993</v>
      </c>
      <c r="G65" s="3">
        <f>M60</f>
        <v>825.15640174999987</v>
      </c>
      <c r="H65" s="11">
        <f>IF(AND(NOT($V65),G65),(G65-F65)/G65,"")</f>
        <v>0.12321401074314571</v>
      </c>
      <c r="I65" s="11"/>
      <c r="J65" s="25"/>
      <c r="K65" s="25"/>
      <c r="L65" s="25"/>
      <c r="M65" s="25"/>
      <c r="N65" s="25"/>
      <c r="Q65"/>
      <c r="R65"/>
      <c r="S65"/>
      <c r="T65"/>
      <c r="U65"/>
      <c r="V65"/>
      <c r="W65"/>
      <c r="X65"/>
      <c r="Y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</row>
    <row r="66" spans="2:61" x14ac:dyDescent="0.25">
      <c r="B66" t="s">
        <v>423</v>
      </c>
      <c r="D66" s="3" t="s">
        <v>0</v>
      </c>
      <c r="E66" t="str">
        <f t="shared" ref="E66:E67" si="22">IF(F66=0,"N/A",IF(AND(F61/F66&gt;=0.95,F61/F66&gt;=1.05),"VALUES DON'T MATCH","OK"))</f>
        <v>N/A</v>
      </c>
      <c r="F66" s="3">
        <f>K60</f>
        <v>0</v>
      </c>
      <c r="G66" s="3">
        <f>N60</f>
        <v>0</v>
      </c>
      <c r="H66" s="11" t="str">
        <f t="shared" ref="H66:H67" si="23">IF(AND(NOT($V66),G66),(G66-F66)/G66,"")</f>
        <v/>
      </c>
      <c r="I66" s="11"/>
      <c r="J66" s="25"/>
      <c r="K66" s="25"/>
      <c r="L66" s="25"/>
      <c r="M66" s="25"/>
      <c r="N66" s="25"/>
      <c r="Q66"/>
      <c r="R66"/>
      <c r="S66"/>
      <c r="T66"/>
      <c r="U66"/>
      <c r="V66"/>
      <c r="W66"/>
      <c r="X66"/>
      <c r="Y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</row>
    <row r="67" spans="2:61" x14ac:dyDescent="0.25">
      <c r="B67" t="s">
        <v>134</v>
      </c>
      <c r="D67" s="3" t="s">
        <v>0</v>
      </c>
      <c r="E67" t="str">
        <f t="shared" si="22"/>
        <v>OK</v>
      </c>
      <c r="F67" s="3">
        <f>L60</f>
        <v>223.49296000000001</v>
      </c>
      <c r="G67" s="3">
        <f>O60</f>
        <v>506.43801875000003</v>
      </c>
      <c r="H67" s="11">
        <f t="shared" si="23"/>
        <v>0.55869632269783065</v>
      </c>
      <c r="Q67"/>
      <c r="R67"/>
      <c r="S67"/>
      <c r="T67"/>
      <c r="U67"/>
      <c r="V67"/>
      <c r="W67"/>
      <c r="X67"/>
      <c r="Y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</row>
    <row r="68" spans="2:61" x14ac:dyDescent="0.25">
      <c r="H68" s="11"/>
      <c r="Q68"/>
      <c r="R68"/>
      <c r="S68"/>
      <c r="T68"/>
      <c r="U68"/>
      <c r="V68"/>
      <c r="W68"/>
      <c r="X68"/>
      <c r="Y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2:61" x14ac:dyDescent="0.25">
      <c r="E69" s="3" t="s">
        <v>417</v>
      </c>
      <c r="H69" s="11"/>
      <c r="M69" s="21"/>
      <c r="Q69"/>
      <c r="R69"/>
      <c r="S69"/>
      <c r="T69"/>
      <c r="U69"/>
      <c r="V69"/>
      <c r="W69"/>
      <c r="X69"/>
      <c r="Y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2:61" x14ac:dyDescent="0.25">
      <c r="B70" t="s">
        <v>128</v>
      </c>
      <c r="D70" s="3" t="s">
        <v>136</v>
      </c>
      <c r="E70" s="2">
        <v>0.19</v>
      </c>
      <c r="F70" s="3">
        <f>F65*$E70</f>
        <v>137.46225867999999</v>
      </c>
      <c r="G70" s="3">
        <f>G65*$E70</f>
        <v>156.77971633249999</v>
      </c>
      <c r="H70" s="11">
        <f t="shared" ref="H70:H72" si="24">IF(AND(NOT($V70),G70),(G70-F70)/G70,"")</f>
        <v>0.12321401074314575</v>
      </c>
      <c r="Q70"/>
      <c r="R70"/>
      <c r="S70"/>
      <c r="T70"/>
      <c r="U70"/>
      <c r="V70"/>
      <c r="W70"/>
      <c r="X70"/>
      <c r="Y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2:61" x14ac:dyDescent="0.25">
      <c r="B71" t="s">
        <v>129</v>
      </c>
      <c r="D71" s="3" t="s">
        <v>136</v>
      </c>
      <c r="E71" s="2">
        <v>0</v>
      </c>
      <c r="F71" s="3">
        <f t="shared" ref="F71:G71" si="25">F66*$E71</f>
        <v>0</v>
      </c>
      <c r="G71" s="3">
        <f t="shared" si="25"/>
        <v>0</v>
      </c>
      <c r="H71" s="11" t="str">
        <f t="shared" si="24"/>
        <v/>
      </c>
      <c r="Q71"/>
      <c r="R71"/>
      <c r="S71"/>
      <c r="T71"/>
      <c r="U71"/>
      <c r="V71"/>
      <c r="W71"/>
      <c r="X71"/>
      <c r="Y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2:61" x14ac:dyDescent="0.25">
      <c r="B72" t="s">
        <v>130</v>
      </c>
      <c r="D72" s="3" t="s">
        <v>136</v>
      </c>
      <c r="E72" s="2">
        <v>0.1033</v>
      </c>
      <c r="F72" s="3">
        <f t="shared" ref="F72:G72" si="26">F67*$E72</f>
        <v>23.086822768000001</v>
      </c>
      <c r="G72" s="3">
        <f t="shared" si="26"/>
        <v>52.315047336875004</v>
      </c>
      <c r="H72" s="11">
        <f t="shared" si="24"/>
        <v>0.55869632269783065</v>
      </c>
      <c r="Q72"/>
      <c r="R72"/>
      <c r="S72"/>
      <c r="T72"/>
      <c r="U72"/>
      <c r="V72"/>
      <c r="W72"/>
      <c r="X72"/>
      <c r="Y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2:61" x14ac:dyDescent="0.25">
      <c r="Q73"/>
      <c r="R73"/>
      <c r="S73"/>
      <c r="T73"/>
      <c r="U73"/>
      <c r="V73"/>
      <c r="W73"/>
      <c r="X73"/>
      <c r="Y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</row>
    <row r="74" spans="2:61" s="38" customFormat="1" x14ac:dyDescent="0.25">
      <c r="D74" s="39"/>
      <c r="E74" s="39"/>
      <c r="F74" s="39" t="s">
        <v>425</v>
      </c>
      <c r="G74" s="39" t="s">
        <v>425</v>
      </c>
      <c r="H74" s="11" t="s">
        <v>424</v>
      </c>
      <c r="I74" s="11"/>
      <c r="J74" s="25"/>
      <c r="K74" s="25"/>
      <c r="L74" s="25"/>
      <c r="M74" s="25"/>
      <c r="N74" s="25"/>
      <c r="O74" s="11"/>
      <c r="Z74" s="40"/>
    </row>
    <row r="75" spans="2:61" s="38" customFormat="1" x14ac:dyDescent="0.25">
      <c r="D75" s="39"/>
      <c r="E75" s="39"/>
      <c r="F75" s="39" t="s">
        <v>428</v>
      </c>
      <c r="G75" s="39" t="s">
        <v>427</v>
      </c>
      <c r="H75" s="38" t="s">
        <v>426</v>
      </c>
      <c r="I75" s="11"/>
      <c r="J75" s="25"/>
      <c r="K75" s="25"/>
      <c r="L75" s="25"/>
      <c r="M75" s="25"/>
      <c r="N75" s="25"/>
      <c r="O75" s="11"/>
      <c r="Z75" s="40"/>
    </row>
    <row r="76" spans="2:61" s="38" customFormat="1" x14ac:dyDescent="0.25">
      <c r="D76" s="39" t="s">
        <v>136</v>
      </c>
      <c r="E76" s="39"/>
      <c r="F76" s="39">
        <f>SUM(F70:F73)</f>
        <v>160.54908144799998</v>
      </c>
      <c r="G76" s="39">
        <f>SUM(G70:G73)</f>
        <v>209.094763669375</v>
      </c>
      <c r="H76" s="20">
        <f>(G76-F76)</f>
        <v>48.545682221375017</v>
      </c>
      <c r="I76" s="20"/>
      <c r="J76" s="25"/>
      <c r="K76" s="25"/>
      <c r="L76" s="25"/>
      <c r="M76" s="25"/>
      <c r="N76" s="25"/>
      <c r="O76" s="11"/>
      <c r="Z76" s="40"/>
    </row>
    <row r="77" spans="2:61" s="33" customFormat="1" x14ac:dyDescent="0.25">
      <c r="D77" s="34"/>
      <c r="E77" s="34"/>
      <c r="F77" s="34"/>
      <c r="G77" s="34"/>
      <c r="H77" s="35"/>
      <c r="I77" s="35"/>
      <c r="J77" s="36"/>
      <c r="K77" s="36"/>
      <c r="L77" s="36"/>
      <c r="M77" s="36"/>
      <c r="N77" s="36"/>
      <c r="O77" s="35"/>
      <c r="Z77" s="37"/>
    </row>
    <row r="78" spans="2:61" s="27" customFormat="1" ht="21" x14ac:dyDescent="0.35">
      <c r="D78" s="28"/>
      <c r="E78" s="28"/>
      <c r="F78" s="28"/>
      <c r="G78" s="28" t="s">
        <v>75</v>
      </c>
      <c r="H78" s="32">
        <f>H76/G76</f>
        <v>0.23217072187487423</v>
      </c>
      <c r="I78" s="32"/>
      <c r="J78" s="30"/>
      <c r="K78" s="30"/>
      <c r="L78" s="30"/>
      <c r="M78" s="30"/>
      <c r="N78" s="30"/>
      <c r="O78" s="29"/>
      <c r="Z78" s="31"/>
    </row>
    <row r="79" spans="2:61" x14ac:dyDescent="0.25">
      <c r="Q79"/>
      <c r="R79"/>
      <c r="S79"/>
      <c r="T79"/>
      <c r="U79"/>
      <c r="V79"/>
      <c r="W79"/>
      <c r="X79"/>
      <c r="Y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</row>
    <row r="80" spans="2:61" x14ac:dyDescent="0.25">
      <c r="Q80"/>
      <c r="R80"/>
      <c r="S80"/>
      <c r="T80"/>
      <c r="U80"/>
      <c r="V80"/>
      <c r="W80"/>
      <c r="X80"/>
      <c r="Y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x14ac:dyDescent="0.25">
      <c r="Q81"/>
      <c r="R81"/>
      <c r="S81"/>
      <c r="T81"/>
      <c r="U81"/>
      <c r="V81"/>
      <c r="W81"/>
      <c r="X81"/>
      <c r="Y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</row>
    <row r="82" spans="1:61" s="48" customFormat="1" x14ac:dyDescent="0.25">
      <c r="A82" s="48" t="s">
        <v>549</v>
      </c>
    </row>
    <row r="83" spans="1:61" x14ac:dyDescent="0.25">
      <c r="D83" s="55" t="s">
        <v>138</v>
      </c>
      <c r="E83" s="55"/>
      <c r="F83" s="55" t="s">
        <v>139</v>
      </c>
      <c r="G83" s="55"/>
      <c r="H83" s="9" t="s">
        <v>483</v>
      </c>
      <c r="J83" s="9" t="s">
        <v>140</v>
      </c>
    </row>
    <row r="84" spans="1:61" s="48" customFormat="1" x14ac:dyDescent="0.25">
      <c r="D84" s="48" t="s">
        <v>132</v>
      </c>
      <c r="E84" s="48" t="s">
        <v>131</v>
      </c>
      <c r="F84" s="48" t="s">
        <v>132</v>
      </c>
      <c r="G84" s="48" t="s">
        <v>131</v>
      </c>
    </row>
    <row r="85" spans="1:61" x14ac:dyDescent="0.25">
      <c r="B85" t="s">
        <v>133</v>
      </c>
      <c r="D85" s="3">
        <f>F19*1000/Overview!$J$15</f>
        <v>67.27723609785761</v>
      </c>
      <c r="E85" s="3">
        <f>G19*1000/Overview!$K$15</f>
        <v>152.03372432146836</v>
      </c>
      <c r="F85" s="3">
        <f>F19*1000/Overview!$J$14</f>
        <v>58.056754538180996</v>
      </c>
      <c r="G85" s="3">
        <f>G19*1000/Overview!$J$14</f>
        <v>131.55737766134314</v>
      </c>
      <c r="H85" s="2">
        <v>24.63</v>
      </c>
      <c r="I85" s="2"/>
      <c r="J85" s="9">
        <f>ABS(1-(H85/F85))</f>
        <v>0.5757599577185788</v>
      </c>
      <c r="K85" s="3"/>
      <c r="L85" s="3"/>
      <c r="M85" s="3"/>
      <c r="N85" s="3"/>
    </row>
    <row r="86" spans="1:61" x14ac:dyDescent="0.25">
      <c r="B86" t="s">
        <v>403</v>
      </c>
      <c r="D86" s="3">
        <f>F21*1000/Overview!$J$15</f>
        <v>24.163963551747909</v>
      </c>
      <c r="E86" s="3">
        <f>G21*1000/Overview!$J$15</f>
        <v>33.396401608081959</v>
      </c>
      <c r="F86" s="3">
        <f>F21*1000/Overview!$J$14</f>
        <v>20.852243373268635</v>
      </c>
      <c r="G86" s="3">
        <f>G21*1000/Overview!$J$14</f>
        <v>28.819357082367858</v>
      </c>
      <c r="H86" s="56">
        <v>29.95</v>
      </c>
      <c r="I86" s="19"/>
      <c r="J86" s="57">
        <f>ABS(1-(H86/(D86+D87)))</f>
        <v>0.58237638574376493</v>
      </c>
      <c r="K86" s="26"/>
      <c r="L86" s="26"/>
      <c r="M86" s="26"/>
      <c r="N86" s="26"/>
    </row>
    <row r="87" spans="1:61" x14ac:dyDescent="0.25">
      <c r="B87" t="s">
        <v>404</v>
      </c>
      <c r="D87" s="3">
        <f>((F23+F27)/Overview!J15)*1000</f>
        <v>47.55132978323104</v>
      </c>
      <c r="E87" s="3">
        <f>((G23+G27)/Overview!K15)*1000</f>
        <v>62.278232200270779</v>
      </c>
      <c r="F87" s="3">
        <f>((F23+F27)/Overview!J14)*1000</f>
        <v>41.034323662964077</v>
      </c>
      <c r="G87" s="3">
        <f>((G23+G27)/Overview!K14)*1000</f>
        <v>53.890417736052953</v>
      </c>
      <c r="H87" s="56"/>
      <c r="I87" s="19"/>
      <c r="J87" s="57"/>
      <c r="K87" s="26"/>
      <c r="L87" s="26"/>
      <c r="M87" s="26"/>
      <c r="N87" s="26"/>
    </row>
    <row r="88" spans="1:61" x14ac:dyDescent="0.25">
      <c r="B88" t="s">
        <v>405</v>
      </c>
      <c r="D88" s="3">
        <f>(F35/Overview!J15)*1000</f>
        <v>0</v>
      </c>
      <c r="E88" s="3">
        <f>(G35/Overview!K15)*1000</f>
        <v>0</v>
      </c>
      <c r="F88" s="3">
        <f>(G35/Overview!K14)*1000</f>
        <v>0</v>
      </c>
      <c r="G88" s="3">
        <f>(G35/Overview!K14)*1000</f>
        <v>0</v>
      </c>
      <c r="H88" s="12">
        <v>0.53</v>
      </c>
      <c r="I88" s="12"/>
      <c r="J88" s="9" t="e">
        <f>1-(H88/F88)</f>
        <v>#DIV/0!</v>
      </c>
    </row>
    <row r="89" spans="1:61" x14ac:dyDescent="0.25">
      <c r="B89" t="s">
        <v>406</v>
      </c>
      <c r="D89" s="3">
        <f>($F$13/Overview!$J$15)*1000</f>
        <v>26.895847343594316</v>
      </c>
      <c r="E89" s="3">
        <f>($G$13/Overview!$K$15)*1000</f>
        <v>34.173433921028852</v>
      </c>
      <c r="F89" s="3">
        <f>($F$13/Overview!$J$14)*1000</f>
        <v>23.209716954664948</v>
      </c>
      <c r="G89" s="3">
        <f>($G$13/Overview!$K$14)*1000</f>
        <v>29.570855890023793</v>
      </c>
      <c r="H89" s="12">
        <v>19.91</v>
      </c>
      <c r="I89" s="12"/>
      <c r="J89" s="9">
        <f>1-(H89/F89)</f>
        <v>0.14216963356813939</v>
      </c>
    </row>
    <row r="105" spans="10:10" x14ac:dyDescent="0.25">
      <c r="J105" s="9"/>
    </row>
    <row r="106" spans="10:10" x14ac:dyDescent="0.25">
      <c r="J106" s="9"/>
    </row>
  </sheetData>
  <mergeCells count="4">
    <mergeCell ref="D83:E83"/>
    <mergeCell ref="F83:G83"/>
    <mergeCell ref="H86:H87"/>
    <mergeCell ref="J86:J8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zoomScale="55" zoomScaleNormal="55" workbookViewId="0">
      <selection activeCell="W1" sqref="A1:XFD1048576"/>
    </sheetView>
  </sheetViews>
  <sheetFormatPr defaultColWidth="11.42578125" defaultRowHeight="15" x14ac:dyDescent="0.25"/>
  <cols>
    <col min="23" max="26" width="11.42578125" style="53"/>
    <col min="27" max="27" width="11.42578125" style="17"/>
  </cols>
  <sheetData>
    <row r="1" spans="1:29" x14ac:dyDescent="0.25">
      <c r="A1" s="1"/>
      <c r="B1" s="1"/>
      <c r="C1" s="1"/>
      <c r="D1" s="4"/>
      <c r="E1" s="4"/>
      <c r="F1" s="4"/>
      <c r="G1" s="4"/>
      <c r="H1" s="10"/>
      <c r="I1" s="10"/>
      <c r="J1" s="22"/>
      <c r="K1" s="22"/>
      <c r="L1" s="22"/>
      <c r="M1" s="22"/>
      <c r="N1" s="22"/>
      <c r="O1" s="10"/>
      <c r="P1" s="1"/>
      <c r="Q1" s="1"/>
      <c r="R1" s="1"/>
      <c r="S1" s="1"/>
      <c r="T1" s="1"/>
      <c r="U1" s="1"/>
    </row>
    <row r="2" spans="1:29" x14ac:dyDescent="0.25">
      <c r="A2" s="1"/>
      <c r="B2" s="1"/>
      <c r="C2" s="1"/>
      <c r="D2" s="4"/>
      <c r="E2" s="4"/>
      <c r="F2" s="4"/>
      <c r="G2" s="4"/>
      <c r="H2" s="10"/>
      <c r="I2" s="10"/>
      <c r="J2" s="22"/>
      <c r="K2" s="22"/>
      <c r="L2" s="22"/>
      <c r="M2" s="22"/>
      <c r="N2" s="22"/>
      <c r="O2" s="22"/>
      <c r="P2" s="1"/>
      <c r="Q2" s="1"/>
      <c r="R2" s="1"/>
      <c r="S2" s="1"/>
      <c r="T2" s="1"/>
      <c r="U2" s="1"/>
    </row>
    <row r="3" spans="1:29" x14ac:dyDescent="0.25">
      <c r="D3" s="3"/>
      <c r="E3" s="3"/>
      <c r="F3" s="3"/>
      <c r="G3" s="3"/>
      <c r="H3" s="9"/>
      <c r="I3" s="9"/>
      <c r="J3" s="23"/>
      <c r="K3" s="23"/>
      <c r="L3" s="23"/>
      <c r="M3" s="23"/>
      <c r="N3" s="23"/>
      <c r="O3" s="9"/>
      <c r="Q3" s="3"/>
      <c r="R3" s="3"/>
      <c r="S3" s="2"/>
      <c r="T3" s="2"/>
      <c r="U3" s="2"/>
    </row>
    <row r="4" spans="1:29" x14ac:dyDescent="0.25">
      <c r="D4" s="3"/>
      <c r="E4" s="3"/>
      <c r="F4" s="3"/>
      <c r="G4" s="3"/>
      <c r="H4" s="9"/>
      <c r="I4" s="9"/>
      <c r="J4" s="23"/>
      <c r="K4" s="23"/>
      <c r="L4" s="23"/>
      <c r="M4" s="23"/>
      <c r="N4" s="23"/>
      <c r="O4" s="9"/>
      <c r="Q4" s="3"/>
      <c r="R4" s="3"/>
      <c r="S4" s="2"/>
      <c r="T4" s="2"/>
      <c r="U4" s="2"/>
    </row>
    <row r="5" spans="1:29" ht="15.75" thickBot="1" x14ac:dyDescent="0.3">
      <c r="D5" s="3"/>
      <c r="E5" s="3"/>
      <c r="F5" s="3"/>
      <c r="G5" s="3"/>
      <c r="H5" s="9"/>
      <c r="I5" s="9"/>
      <c r="J5" s="23"/>
      <c r="K5" s="23"/>
      <c r="L5" s="23"/>
      <c r="M5" s="23"/>
      <c r="N5" s="23"/>
      <c r="O5" s="9"/>
      <c r="Q5" s="3"/>
      <c r="R5" s="3"/>
      <c r="S5" s="2"/>
      <c r="T5" s="2"/>
      <c r="U5" s="2"/>
    </row>
    <row r="6" spans="1:29" ht="15.75" thickTop="1" x14ac:dyDescent="0.25">
      <c r="A6" s="5"/>
      <c r="B6" s="5"/>
      <c r="C6" s="5"/>
      <c r="D6" s="6"/>
      <c r="E6" s="6"/>
      <c r="F6" s="6"/>
      <c r="G6" s="6"/>
      <c r="H6" s="8"/>
      <c r="I6" s="8"/>
      <c r="J6" s="24"/>
      <c r="K6" s="24"/>
      <c r="L6" s="24"/>
      <c r="M6" s="24"/>
      <c r="N6" s="24"/>
      <c r="O6" s="24"/>
      <c r="P6" s="5"/>
      <c r="Q6" s="16"/>
      <c r="R6" s="16"/>
      <c r="S6" s="16"/>
      <c r="T6" s="16"/>
      <c r="U6" s="16"/>
      <c r="W6" s="54"/>
      <c r="X6" s="54"/>
      <c r="Y6" s="54"/>
      <c r="Z6" s="54"/>
      <c r="AA6" s="52"/>
      <c r="AB6" s="52"/>
      <c r="AC6" s="52"/>
    </row>
    <row r="7" spans="1:29" ht="15.75" thickBot="1" x14ac:dyDescent="0.3">
      <c r="D7" s="3"/>
      <c r="E7" s="3"/>
      <c r="F7" s="3"/>
      <c r="G7" s="3"/>
      <c r="H7" s="9"/>
      <c r="I7" s="9"/>
      <c r="J7" s="23"/>
      <c r="K7" s="23"/>
      <c r="L7" s="23"/>
      <c r="M7" s="23"/>
      <c r="N7" s="23"/>
      <c r="O7" s="23"/>
      <c r="Q7" s="17"/>
      <c r="R7" s="17"/>
      <c r="S7" s="17"/>
      <c r="T7" s="17"/>
      <c r="U7" s="17"/>
    </row>
    <row r="8" spans="1:29" ht="15.75" thickTop="1" x14ac:dyDescent="0.25">
      <c r="A8" s="5"/>
      <c r="B8" s="5"/>
      <c r="C8" s="5"/>
      <c r="D8" s="6"/>
      <c r="E8" s="6"/>
      <c r="F8" s="6"/>
      <c r="G8" s="6"/>
      <c r="H8" s="8"/>
      <c r="I8" s="8"/>
      <c r="J8" s="24"/>
      <c r="K8" s="24"/>
      <c r="L8" s="24"/>
      <c r="M8" s="24"/>
      <c r="N8" s="24"/>
      <c r="O8" s="24"/>
      <c r="P8" s="5"/>
      <c r="Q8" s="16"/>
      <c r="R8" s="16"/>
      <c r="S8" s="16"/>
      <c r="T8" s="16"/>
      <c r="U8" s="16"/>
    </row>
    <row r="9" spans="1:29" x14ac:dyDescent="0.25">
      <c r="D9" s="3"/>
      <c r="E9" s="3"/>
      <c r="F9" s="3"/>
      <c r="G9" s="3"/>
      <c r="H9" s="9"/>
      <c r="I9" s="9"/>
      <c r="J9" s="23"/>
      <c r="K9" s="23"/>
      <c r="L9" s="23"/>
      <c r="M9" s="23"/>
      <c r="N9" s="23"/>
      <c r="O9" s="23"/>
      <c r="Q9" s="17"/>
      <c r="R9" s="17"/>
      <c r="S9" s="17"/>
      <c r="T9" s="17"/>
      <c r="U9" s="17"/>
    </row>
    <row r="10" spans="1:29" x14ac:dyDescent="0.25">
      <c r="D10" s="3"/>
      <c r="E10" s="3"/>
      <c r="F10" s="3"/>
      <c r="G10" s="3"/>
      <c r="H10" s="9"/>
      <c r="I10" s="9"/>
      <c r="J10" s="23"/>
      <c r="K10" s="23"/>
      <c r="L10" s="23"/>
      <c r="M10" s="23"/>
      <c r="N10" s="23"/>
      <c r="O10" s="23"/>
      <c r="Q10" s="17"/>
      <c r="R10" s="17"/>
      <c r="S10" s="17"/>
      <c r="T10" s="17"/>
      <c r="U10" s="17"/>
    </row>
    <row r="11" spans="1:29" x14ac:dyDescent="0.25">
      <c r="D11" s="3"/>
      <c r="E11" s="3"/>
      <c r="F11" s="3"/>
      <c r="G11" s="3"/>
      <c r="H11" s="9"/>
      <c r="I11" s="9"/>
      <c r="J11" s="23"/>
      <c r="K11" s="23"/>
      <c r="L11" s="23"/>
      <c r="M11" s="23"/>
      <c r="N11" s="23"/>
      <c r="O11" s="23"/>
      <c r="Q11" s="17"/>
      <c r="R11" s="17"/>
      <c r="S11" s="17"/>
      <c r="T11" s="17"/>
      <c r="U11" s="17"/>
    </row>
    <row r="12" spans="1:29" x14ac:dyDescent="0.25">
      <c r="D12" s="3"/>
      <c r="E12" s="3"/>
      <c r="F12" s="3"/>
      <c r="G12" s="3"/>
      <c r="H12" s="9"/>
      <c r="I12" s="9"/>
      <c r="J12" s="23"/>
      <c r="K12" s="23"/>
      <c r="L12" s="23"/>
      <c r="M12" s="23"/>
      <c r="N12" s="23"/>
      <c r="O12" s="23"/>
      <c r="Q12" s="17"/>
      <c r="R12" s="17"/>
      <c r="S12" s="17"/>
      <c r="T12" s="17"/>
      <c r="U12" s="17"/>
    </row>
    <row r="13" spans="1:29" ht="15.75" thickBot="1" x14ac:dyDescent="0.3">
      <c r="D13" s="3"/>
      <c r="E13" s="3"/>
      <c r="F13" s="3"/>
      <c r="G13" s="3"/>
      <c r="H13" s="9"/>
      <c r="I13" s="9"/>
      <c r="J13" s="23"/>
      <c r="K13" s="23"/>
      <c r="L13" s="23"/>
      <c r="M13" s="23"/>
      <c r="N13" s="23"/>
      <c r="O13" s="23"/>
      <c r="Q13" s="17"/>
      <c r="R13" s="17"/>
      <c r="S13" s="17"/>
      <c r="T13" s="17"/>
      <c r="U13" s="17"/>
    </row>
    <row r="14" spans="1:29" ht="15.75" thickTop="1" x14ac:dyDescent="0.25">
      <c r="A14" s="5"/>
      <c r="B14" s="5"/>
      <c r="C14" s="5"/>
      <c r="D14" s="6"/>
      <c r="E14" s="6"/>
      <c r="F14" s="6"/>
      <c r="G14" s="6"/>
      <c r="H14" s="13"/>
      <c r="I14" s="13"/>
      <c r="J14" s="6"/>
      <c r="K14" s="6"/>
      <c r="L14" s="6"/>
      <c r="M14" s="6"/>
      <c r="N14" s="6"/>
      <c r="O14" s="6"/>
      <c r="P14" s="5"/>
      <c r="Q14" s="16"/>
      <c r="R14" s="16"/>
      <c r="S14" s="16"/>
      <c r="T14" s="16"/>
      <c r="U14" s="16"/>
    </row>
    <row r="15" spans="1:29" ht="15.75" thickBot="1" x14ac:dyDescent="0.3">
      <c r="D15" s="3"/>
      <c r="E15" s="3"/>
      <c r="F15" s="3"/>
      <c r="G15" s="3"/>
      <c r="H15" s="9"/>
      <c r="I15" s="9"/>
      <c r="J15" s="23"/>
      <c r="K15" s="23"/>
      <c r="L15" s="23"/>
      <c r="M15" s="23"/>
      <c r="N15" s="23"/>
      <c r="O15" s="3"/>
      <c r="Q15" s="17"/>
      <c r="R15" s="17"/>
      <c r="S15" s="17"/>
      <c r="T15" s="17"/>
      <c r="U15" s="17"/>
    </row>
    <row r="16" spans="1:29" ht="15.75" thickTop="1" x14ac:dyDescent="0.25">
      <c r="A16" s="5"/>
      <c r="B16" s="5"/>
      <c r="C16" s="5"/>
      <c r="D16" s="6"/>
      <c r="E16" s="6"/>
      <c r="F16" s="6"/>
      <c r="G16" s="6"/>
      <c r="H16" s="8"/>
      <c r="I16" s="8"/>
      <c r="J16" s="24"/>
      <c r="K16" s="24"/>
      <c r="L16" s="24"/>
      <c r="M16" s="24"/>
      <c r="N16" s="24"/>
      <c r="O16" s="24"/>
      <c r="P16" s="5"/>
      <c r="Q16" s="16"/>
      <c r="R16" s="16"/>
      <c r="S16" s="16"/>
      <c r="T16" s="16"/>
      <c r="U16" s="16"/>
    </row>
    <row r="17" spans="1:21" ht="15.75" thickBot="1" x14ac:dyDescent="0.3">
      <c r="D17" s="3"/>
      <c r="E17" s="3"/>
      <c r="F17" s="3"/>
      <c r="G17" s="3"/>
      <c r="H17" s="9"/>
      <c r="I17" s="9"/>
      <c r="J17" s="23"/>
      <c r="K17" s="23"/>
      <c r="L17" s="23"/>
      <c r="M17" s="23"/>
      <c r="N17" s="23"/>
      <c r="O17" s="3"/>
      <c r="Q17" s="17"/>
      <c r="R17" s="17"/>
      <c r="S17" s="17"/>
      <c r="T17" s="17"/>
      <c r="U17" s="17"/>
    </row>
    <row r="18" spans="1:21" ht="15.75" thickTop="1" x14ac:dyDescent="0.25">
      <c r="A18" s="5"/>
      <c r="B18" s="5"/>
      <c r="C18" s="5"/>
      <c r="D18" s="6"/>
      <c r="E18" s="6"/>
      <c r="F18" s="6"/>
      <c r="G18" s="6"/>
      <c r="H18" s="8"/>
      <c r="I18" s="8"/>
      <c r="J18" s="24"/>
      <c r="K18" s="24"/>
      <c r="L18" s="24"/>
      <c r="M18" s="24"/>
      <c r="N18" s="24"/>
      <c r="O18" s="24"/>
      <c r="P18" s="5"/>
      <c r="Q18" s="16"/>
      <c r="R18" s="16"/>
      <c r="S18" s="16"/>
      <c r="T18" s="16"/>
      <c r="U18" s="16"/>
    </row>
    <row r="19" spans="1:21" ht="15.75" thickBot="1" x14ac:dyDescent="0.3">
      <c r="D19" s="3"/>
      <c r="E19" s="3"/>
      <c r="F19" s="3"/>
      <c r="G19" s="3"/>
      <c r="H19" s="9"/>
      <c r="I19" s="9"/>
      <c r="J19" s="23"/>
      <c r="K19" s="23"/>
      <c r="L19" s="23"/>
      <c r="M19" s="23"/>
      <c r="N19" s="23"/>
      <c r="O19" s="3"/>
      <c r="Q19" s="17"/>
      <c r="R19" s="17"/>
      <c r="S19" s="17"/>
      <c r="T19" s="17"/>
      <c r="U19" s="17"/>
    </row>
    <row r="20" spans="1:21" ht="15.75" thickTop="1" x14ac:dyDescent="0.25">
      <c r="A20" s="5"/>
      <c r="B20" s="5"/>
      <c r="C20" s="5"/>
      <c r="D20" s="6"/>
      <c r="E20" s="6"/>
      <c r="F20" s="6"/>
      <c r="G20" s="6"/>
      <c r="H20" s="8"/>
      <c r="I20" s="8"/>
      <c r="J20" s="24"/>
      <c r="K20" s="24"/>
      <c r="L20" s="24"/>
      <c r="M20" s="24"/>
      <c r="N20" s="24"/>
      <c r="O20" s="24"/>
      <c r="P20" s="5"/>
      <c r="Q20" s="16"/>
      <c r="R20" s="16"/>
      <c r="S20" s="16"/>
      <c r="T20" s="16"/>
      <c r="U20" s="16"/>
    </row>
    <row r="21" spans="1:21" ht="15.75" thickBot="1" x14ac:dyDescent="0.3">
      <c r="D21" s="3"/>
      <c r="E21" s="3"/>
      <c r="F21" s="3"/>
      <c r="G21" s="3"/>
      <c r="H21" s="9"/>
      <c r="I21" s="9"/>
      <c r="J21" s="23"/>
      <c r="K21" s="23"/>
      <c r="L21" s="23"/>
      <c r="M21" s="23"/>
      <c r="N21" s="23"/>
      <c r="O21" s="3"/>
      <c r="Q21" s="17"/>
      <c r="R21" s="17"/>
      <c r="S21" s="17"/>
      <c r="T21" s="17"/>
      <c r="U21" s="17"/>
    </row>
    <row r="22" spans="1:21" ht="15.75" thickTop="1" x14ac:dyDescent="0.25">
      <c r="A22" s="5"/>
      <c r="B22" s="5"/>
      <c r="C22" s="5"/>
      <c r="D22" s="6"/>
      <c r="E22" s="6"/>
      <c r="F22" s="6"/>
      <c r="G22" s="6"/>
      <c r="H22" s="8"/>
      <c r="I22" s="8"/>
      <c r="J22" s="24"/>
      <c r="K22" s="24"/>
      <c r="L22" s="24"/>
      <c r="M22" s="24"/>
      <c r="N22" s="24"/>
      <c r="O22" s="24"/>
      <c r="P22" s="5"/>
      <c r="Q22" s="16"/>
      <c r="R22" s="16"/>
      <c r="S22" s="16"/>
      <c r="T22" s="16"/>
      <c r="U22" s="16"/>
    </row>
    <row r="23" spans="1:21" ht="15.75" thickBot="1" x14ac:dyDescent="0.3">
      <c r="D23" s="3"/>
      <c r="E23" s="3"/>
      <c r="F23" s="3"/>
      <c r="G23" s="3"/>
      <c r="H23" s="9"/>
      <c r="I23" s="9"/>
      <c r="J23" s="23"/>
      <c r="K23" s="23"/>
      <c r="L23" s="23"/>
      <c r="M23" s="23"/>
      <c r="N23" s="23"/>
      <c r="O23" s="3"/>
      <c r="Q23" s="17"/>
      <c r="R23" s="17"/>
      <c r="S23" s="17"/>
      <c r="T23" s="17"/>
      <c r="U23" s="17"/>
    </row>
    <row r="24" spans="1:21" ht="15.75" thickTop="1" x14ac:dyDescent="0.25">
      <c r="A24" s="5"/>
      <c r="B24" s="5"/>
      <c r="C24" s="5"/>
      <c r="D24" s="6"/>
      <c r="E24" s="6"/>
      <c r="F24" s="6"/>
      <c r="G24" s="6"/>
      <c r="H24" s="8"/>
      <c r="I24" s="8"/>
      <c r="J24" s="24"/>
      <c r="K24" s="24"/>
      <c r="L24" s="24"/>
      <c r="M24" s="24"/>
      <c r="N24" s="24"/>
      <c r="O24" s="24"/>
      <c r="P24" s="5"/>
      <c r="Q24" s="16"/>
      <c r="R24" s="16"/>
      <c r="S24" s="16"/>
      <c r="T24" s="16"/>
      <c r="U24" s="16"/>
    </row>
    <row r="25" spans="1:21" x14ac:dyDescent="0.25">
      <c r="D25" s="3"/>
      <c r="E25" s="3"/>
      <c r="F25" s="3"/>
      <c r="G25" s="3"/>
      <c r="H25" s="9"/>
      <c r="I25" s="9"/>
      <c r="J25" s="23"/>
      <c r="K25" s="23"/>
      <c r="L25" s="23"/>
      <c r="M25" s="23"/>
      <c r="N25" s="23"/>
      <c r="O25" s="3"/>
      <c r="Q25" s="17"/>
      <c r="R25" s="17"/>
      <c r="S25" s="17"/>
      <c r="T25" s="17"/>
      <c r="U25" s="17"/>
    </row>
    <row r="26" spans="1:21" x14ac:dyDescent="0.25">
      <c r="D26" s="3"/>
      <c r="E26" s="3"/>
      <c r="F26" s="18"/>
      <c r="G26" s="18"/>
      <c r="H26" s="9"/>
      <c r="I26" s="9"/>
      <c r="J26" s="23"/>
      <c r="K26" s="23"/>
      <c r="L26" s="23"/>
      <c r="M26" s="23"/>
      <c r="N26" s="23"/>
      <c r="O26" s="3"/>
      <c r="Q26" s="17"/>
      <c r="R26" s="17"/>
      <c r="S26" s="17"/>
      <c r="T26" s="17"/>
      <c r="U26" s="17"/>
    </row>
    <row r="27" spans="1:21" x14ac:dyDescent="0.25">
      <c r="D27" s="3"/>
      <c r="E27" s="3"/>
      <c r="F27" s="3"/>
      <c r="G27" s="3"/>
      <c r="H27" s="9"/>
      <c r="I27" s="9"/>
      <c r="J27" s="23"/>
      <c r="K27" s="23"/>
      <c r="L27" s="23"/>
      <c r="M27" s="23"/>
      <c r="N27" s="23"/>
      <c r="O27" s="3"/>
      <c r="Q27" s="17"/>
      <c r="R27" s="17"/>
      <c r="S27" s="17"/>
      <c r="T27" s="17"/>
      <c r="U27" s="17"/>
    </row>
    <row r="28" spans="1:21" x14ac:dyDescent="0.25">
      <c r="D28" s="3"/>
      <c r="E28" s="3"/>
      <c r="F28" s="18"/>
      <c r="G28" s="18"/>
      <c r="H28" s="9"/>
      <c r="I28" s="9"/>
      <c r="J28" s="23"/>
      <c r="K28" s="23"/>
      <c r="L28" s="23"/>
      <c r="M28" s="23"/>
      <c r="N28" s="23"/>
      <c r="O28" s="3"/>
      <c r="Q28" s="17"/>
      <c r="R28" s="17"/>
      <c r="S28" s="17"/>
      <c r="T28" s="17"/>
      <c r="U28" s="17"/>
    </row>
    <row r="29" spans="1:21" ht="15.75" thickBot="1" x14ac:dyDescent="0.3">
      <c r="D29" s="3"/>
      <c r="E29" s="3"/>
      <c r="F29" s="3"/>
      <c r="G29" s="3"/>
      <c r="H29" s="9"/>
      <c r="I29" s="9"/>
      <c r="J29" s="23"/>
      <c r="K29" s="23"/>
      <c r="L29" s="23"/>
      <c r="M29" s="23"/>
      <c r="N29" s="23"/>
      <c r="O29" s="3"/>
      <c r="Q29" s="17"/>
      <c r="R29" s="17"/>
      <c r="S29" s="17"/>
      <c r="T29" s="17"/>
      <c r="U29" s="17"/>
    </row>
    <row r="30" spans="1:21" ht="15.75" thickTop="1" x14ac:dyDescent="0.25">
      <c r="A30" s="5"/>
      <c r="B30" s="5"/>
      <c r="C30" s="5"/>
      <c r="D30" s="6"/>
      <c r="E30" s="6"/>
      <c r="F30" s="6"/>
      <c r="G30" s="6"/>
      <c r="H30" s="8"/>
      <c r="I30" s="8"/>
      <c r="J30" s="24"/>
      <c r="K30" s="24"/>
      <c r="L30" s="24"/>
      <c r="M30" s="24"/>
      <c r="N30" s="24"/>
      <c r="O30" s="24"/>
      <c r="P30" s="5"/>
      <c r="Q30" s="16"/>
      <c r="R30" s="16"/>
      <c r="S30" s="16"/>
      <c r="T30" s="16"/>
      <c r="U30" s="16"/>
    </row>
    <row r="31" spans="1:21" ht="15.75" thickBot="1" x14ac:dyDescent="0.3">
      <c r="D31" s="3"/>
      <c r="E31" s="3"/>
      <c r="F31" s="3"/>
      <c r="G31" s="3"/>
      <c r="H31" s="9"/>
      <c r="I31" s="9"/>
      <c r="J31" s="23"/>
      <c r="K31" s="23"/>
      <c r="L31" s="23"/>
      <c r="M31" s="23"/>
      <c r="N31" s="23"/>
      <c r="O31" s="3"/>
      <c r="Q31" s="17"/>
      <c r="R31" s="17"/>
      <c r="S31" s="17"/>
      <c r="T31" s="17"/>
      <c r="U31" s="17"/>
    </row>
    <row r="32" spans="1:21" ht="16.5" thickTop="1" thickBot="1" x14ac:dyDescent="0.3">
      <c r="A32" s="5"/>
      <c r="B32" s="5"/>
      <c r="C32" s="5"/>
      <c r="D32" s="6"/>
      <c r="E32" s="6"/>
      <c r="F32" s="3"/>
      <c r="G32" s="3"/>
      <c r="H32" s="8"/>
      <c r="I32" s="8"/>
      <c r="J32" s="24"/>
      <c r="K32" s="24"/>
      <c r="L32" s="24"/>
      <c r="M32" s="24"/>
      <c r="N32" s="24"/>
      <c r="O32" s="24"/>
      <c r="P32" s="5"/>
      <c r="Q32" s="16"/>
      <c r="R32" s="16"/>
      <c r="S32" s="16"/>
      <c r="T32" s="16"/>
      <c r="U32" s="16"/>
    </row>
    <row r="33" spans="1:21" ht="16.5" thickTop="1" thickBot="1" x14ac:dyDescent="0.3">
      <c r="D33" s="3"/>
      <c r="E33" s="3"/>
      <c r="F33" s="3"/>
      <c r="G33" s="3"/>
      <c r="H33" s="8"/>
      <c r="I33" s="11"/>
      <c r="J33" s="25"/>
      <c r="K33" s="25"/>
      <c r="L33" s="25"/>
      <c r="M33" s="25"/>
      <c r="N33" s="25"/>
      <c r="O33" s="25"/>
      <c r="Q33" s="17"/>
      <c r="R33" s="17"/>
      <c r="S33" s="17"/>
      <c r="T33" s="17"/>
      <c r="U33" s="17"/>
    </row>
    <row r="34" spans="1:21" ht="16.5" thickTop="1" thickBot="1" x14ac:dyDescent="0.3">
      <c r="D34" s="3"/>
      <c r="E34" s="3"/>
      <c r="F34" s="3"/>
      <c r="G34" s="3"/>
      <c r="H34" s="8"/>
      <c r="I34" s="11"/>
      <c r="J34" s="25"/>
      <c r="K34" s="25"/>
      <c r="L34" s="25"/>
      <c r="M34" s="25"/>
      <c r="N34" s="25"/>
      <c r="O34" s="25"/>
      <c r="Q34" s="17"/>
      <c r="R34" s="17"/>
      <c r="S34" s="17"/>
      <c r="T34" s="17"/>
      <c r="U34" s="17"/>
    </row>
    <row r="35" spans="1:21" ht="16.5" thickTop="1" thickBot="1" x14ac:dyDescent="0.3">
      <c r="D35" s="3"/>
      <c r="E35" s="3"/>
      <c r="F35" s="3"/>
      <c r="G35" s="3"/>
      <c r="H35" s="8"/>
      <c r="I35" s="11"/>
      <c r="J35" s="25"/>
      <c r="K35" s="25"/>
      <c r="L35" s="25"/>
      <c r="M35" s="25"/>
      <c r="N35" s="25"/>
      <c r="O35" s="25"/>
      <c r="Q35" s="17"/>
      <c r="R35" s="17"/>
      <c r="S35" s="17"/>
      <c r="T35" s="17"/>
      <c r="U35" s="17"/>
    </row>
    <row r="36" spans="1:21" ht="16.5" thickTop="1" thickBot="1" x14ac:dyDescent="0.3">
      <c r="D36" s="3"/>
      <c r="E36" s="3"/>
      <c r="F36" s="3"/>
      <c r="G36" s="3"/>
      <c r="H36" s="8"/>
      <c r="I36" s="11"/>
      <c r="J36" s="25"/>
      <c r="K36" s="25"/>
      <c r="L36" s="25"/>
      <c r="M36" s="25"/>
      <c r="N36" s="25"/>
      <c r="O36" s="25"/>
      <c r="Q36" s="17"/>
      <c r="R36" s="17"/>
      <c r="S36" s="17"/>
      <c r="T36" s="17"/>
      <c r="U36" s="17"/>
    </row>
    <row r="37" spans="1:21" ht="16.5" thickTop="1" thickBot="1" x14ac:dyDescent="0.3">
      <c r="D37" s="3"/>
      <c r="E37" s="3"/>
      <c r="F37" s="3"/>
      <c r="G37" s="3"/>
      <c r="H37" s="8"/>
      <c r="I37" s="11"/>
      <c r="J37" s="25"/>
      <c r="K37" s="25"/>
      <c r="L37" s="25"/>
      <c r="M37" s="25"/>
      <c r="N37" s="25"/>
      <c r="O37" s="25"/>
      <c r="Q37" s="17"/>
      <c r="R37" s="17"/>
      <c r="S37" s="17"/>
      <c r="T37" s="17"/>
      <c r="U37" s="17"/>
    </row>
    <row r="38" spans="1:21" ht="16.5" thickTop="1" thickBot="1" x14ac:dyDescent="0.3">
      <c r="D38" s="3"/>
      <c r="E38" s="3"/>
      <c r="F38" s="3"/>
      <c r="G38" s="3"/>
      <c r="H38" s="8"/>
      <c r="I38" s="11"/>
      <c r="J38" s="25"/>
      <c r="K38" s="25"/>
      <c r="L38" s="25"/>
      <c r="M38" s="25"/>
      <c r="N38" s="25"/>
      <c r="O38" s="25"/>
      <c r="Q38" s="17"/>
      <c r="R38" s="17"/>
      <c r="S38" s="17"/>
      <c r="T38" s="17"/>
      <c r="U38" s="17"/>
    </row>
    <row r="39" spans="1:21" ht="16.5" thickTop="1" thickBot="1" x14ac:dyDescent="0.3">
      <c r="D39" s="3"/>
      <c r="E39" s="3"/>
      <c r="F39" s="3"/>
      <c r="G39" s="3"/>
      <c r="H39" s="8"/>
      <c r="I39" s="11"/>
      <c r="J39" s="25"/>
      <c r="K39" s="25"/>
      <c r="L39" s="25"/>
      <c r="M39" s="25"/>
      <c r="N39" s="25"/>
      <c r="O39" s="25"/>
      <c r="Q39" s="17"/>
      <c r="R39" s="17"/>
      <c r="S39" s="17"/>
      <c r="T39" s="17"/>
      <c r="U39" s="17"/>
    </row>
    <row r="40" spans="1:21" ht="16.5" thickTop="1" thickBot="1" x14ac:dyDescent="0.3">
      <c r="D40" s="3"/>
      <c r="E40" s="3"/>
      <c r="F40" s="3"/>
      <c r="G40" s="3"/>
      <c r="H40" s="8"/>
      <c r="I40" s="11"/>
      <c r="J40" s="25"/>
      <c r="K40" s="25"/>
      <c r="L40" s="25"/>
      <c r="M40" s="25"/>
      <c r="N40" s="25"/>
      <c r="O40" s="25"/>
      <c r="Q40" s="17"/>
      <c r="R40" s="17"/>
      <c r="S40" s="17"/>
      <c r="T40" s="17"/>
      <c r="U40" s="17"/>
    </row>
    <row r="41" spans="1:21" ht="16.5" thickTop="1" thickBot="1" x14ac:dyDescent="0.3">
      <c r="D41" s="3"/>
      <c r="E41" s="3"/>
      <c r="F41" s="3"/>
      <c r="G41" s="3"/>
      <c r="H41" s="8"/>
      <c r="I41" s="11"/>
      <c r="J41" s="25"/>
      <c r="K41" s="25"/>
      <c r="L41" s="25"/>
      <c r="M41" s="25"/>
      <c r="N41" s="25"/>
      <c r="O41" s="25"/>
      <c r="Q41" s="17"/>
      <c r="R41" s="17"/>
      <c r="S41" s="17"/>
      <c r="T41" s="17"/>
      <c r="U41" s="17"/>
    </row>
    <row r="42" spans="1:21" ht="16.5" thickTop="1" thickBot="1" x14ac:dyDescent="0.3">
      <c r="D42" s="3"/>
      <c r="E42" s="3"/>
      <c r="F42" s="3"/>
      <c r="G42" s="3"/>
      <c r="H42" s="8"/>
      <c r="I42" s="11"/>
      <c r="J42" s="25"/>
      <c r="K42" s="25"/>
      <c r="L42" s="25"/>
      <c r="M42" s="25"/>
      <c r="N42" s="25"/>
      <c r="O42" s="25"/>
      <c r="Q42" s="17"/>
      <c r="R42" s="17"/>
      <c r="S42" s="17"/>
      <c r="T42" s="17"/>
      <c r="U42" s="17"/>
    </row>
    <row r="43" spans="1:21" ht="16.5" thickTop="1" thickBot="1" x14ac:dyDescent="0.3">
      <c r="D43" s="3"/>
      <c r="E43" s="3"/>
      <c r="F43" s="3"/>
      <c r="G43" s="3"/>
      <c r="H43" s="8"/>
      <c r="I43" s="11"/>
      <c r="J43" s="25"/>
      <c r="K43" s="25"/>
      <c r="L43" s="25"/>
      <c r="M43" s="25"/>
      <c r="N43" s="25"/>
      <c r="O43" s="25"/>
      <c r="Q43" s="17"/>
      <c r="R43" s="17"/>
      <c r="S43" s="17"/>
      <c r="T43" s="17"/>
      <c r="U43" s="17"/>
    </row>
    <row r="44" spans="1:21" ht="16.5" thickTop="1" thickBot="1" x14ac:dyDescent="0.3">
      <c r="D44" s="3"/>
      <c r="E44" s="3"/>
      <c r="F44" s="3"/>
      <c r="G44" s="3"/>
      <c r="H44" s="8"/>
      <c r="I44" s="11"/>
      <c r="J44" s="25"/>
      <c r="K44" s="25"/>
      <c r="L44" s="25"/>
      <c r="M44" s="25"/>
      <c r="N44" s="25"/>
      <c r="O44" s="25"/>
      <c r="Q44" s="17"/>
      <c r="R44" s="17"/>
      <c r="S44" s="17"/>
      <c r="T44" s="17"/>
      <c r="U44" s="17"/>
    </row>
    <row r="45" spans="1:21" ht="16.5" thickTop="1" thickBot="1" x14ac:dyDescent="0.3">
      <c r="D45" s="3"/>
      <c r="E45" s="3"/>
      <c r="F45" s="3"/>
      <c r="G45" s="3"/>
      <c r="H45" s="8"/>
      <c r="I45" s="11"/>
      <c r="J45" s="25"/>
      <c r="K45" s="25"/>
      <c r="L45" s="25"/>
      <c r="M45" s="25"/>
      <c r="N45" s="25"/>
      <c r="O45" s="25"/>
      <c r="Q45" s="17"/>
      <c r="R45" s="17"/>
      <c r="S45" s="17"/>
      <c r="T45" s="17"/>
      <c r="U45" s="17"/>
    </row>
    <row r="46" spans="1:21" ht="16.5" thickTop="1" thickBot="1" x14ac:dyDescent="0.3">
      <c r="D46" s="3"/>
      <c r="E46" s="3"/>
      <c r="F46" s="3"/>
      <c r="G46" s="3"/>
      <c r="H46" s="8"/>
      <c r="I46" s="11"/>
      <c r="J46" s="25"/>
      <c r="K46" s="25"/>
      <c r="L46" s="25"/>
      <c r="M46" s="25"/>
      <c r="N46" s="25"/>
      <c r="O46" s="25"/>
      <c r="Q46" s="17"/>
      <c r="R46" s="17"/>
      <c r="S46" s="17"/>
      <c r="T46" s="17"/>
      <c r="U46" s="17"/>
    </row>
    <row r="47" spans="1:21" ht="16.5" thickTop="1" thickBot="1" x14ac:dyDescent="0.3">
      <c r="D47" s="3"/>
      <c r="E47" s="3"/>
      <c r="F47" s="3"/>
      <c r="G47" s="3"/>
      <c r="H47" s="8"/>
      <c r="I47" s="11"/>
      <c r="J47" s="25"/>
      <c r="K47" s="25"/>
      <c r="L47" s="25"/>
      <c r="M47" s="25"/>
      <c r="N47" s="25"/>
      <c r="O47" s="25"/>
      <c r="Q47" s="17"/>
      <c r="R47" s="17"/>
      <c r="S47" s="17"/>
      <c r="T47" s="17"/>
      <c r="U47" s="17"/>
    </row>
    <row r="48" spans="1:21" ht="15.75" thickTop="1" x14ac:dyDescent="0.25">
      <c r="A48" s="5"/>
      <c r="B48" s="5"/>
      <c r="C48" s="5"/>
      <c r="D48" s="6"/>
      <c r="E48" s="6"/>
      <c r="F48" s="6"/>
      <c r="G48" s="6"/>
      <c r="H48" s="8"/>
      <c r="I48" s="8"/>
      <c r="J48" s="24"/>
      <c r="K48" s="24"/>
      <c r="L48" s="24"/>
      <c r="M48" s="24"/>
      <c r="N48" s="24"/>
      <c r="O48" s="24"/>
      <c r="P48" s="5"/>
      <c r="Q48" s="16"/>
      <c r="R48" s="16"/>
      <c r="S48" s="16"/>
      <c r="T48" s="16"/>
      <c r="U48" s="16"/>
    </row>
    <row r="49" spans="1:21" ht="15.75" thickBot="1" x14ac:dyDescent="0.3">
      <c r="D49" s="3"/>
      <c r="E49" s="3"/>
      <c r="F49" s="3"/>
      <c r="G49" s="3"/>
      <c r="H49" s="9"/>
      <c r="I49" s="9"/>
      <c r="J49" s="23"/>
      <c r="K49" s="23"/>
      <c r="L49" s="23"/>
      <c r="M49" s="23"/>
      <c r="N49" s="23"/>
      <c r="O49" s="3"/>
      <c r="Q49" s="17"/>
      <c r="R49" s="17"/>
      <c r="S49" s="17"/>
      <c r="T49" s="17"/>
      <c r="U49" s="17"/>
    </row>
    <row r="50" spans="1:21" ht="15.75" thickTop="1" x14ac:dyDescent="0.25">
      <c r="A50" s="5"/>
      <c r="B50" s="5"/>
      <c r="C50" s="5"/>
      <c r="D50" s="6"/>
      <c r="E50" s="6"/>
      <c r="F50" s="6"/>
      <c r="G50" s="6"/>
      <c r="H50" s="8"/>
      <c r="I50" s="8"/>
      <c r="J50" s="24"/>
      <c r="K50" s="24"/>
      <c r="L50" s="24"/>
      <c r="M50" s="24"/>
      <c r="N50" s="24"/>
      <c r="O50" s="24"/>
      <c r="P50" s="5"/>
      <c r="Q50" s="16"/>
      <c r="R50" s="16"/>
      <c r="S50" s="16"/>
      <c r="T50" s="16"/>
      <c r="U50" s="16"/>
    </row>
    <row r="51" spans="1:21" ht="15.75" thickBot="1" x14ac:dyDescent="0.3">
      <c r="D51" s="3"/>
      <c r="E51" s="3"/>
      <c r="F51" s="3"/>
      <c r="G51" s="3"/>
      <c r="H51" s="9"/>
      <c r="I51" s="9"/>
      <c r="J51" s="23"/>
      <c r="K51" s="23"/>
      <c r="L51" s="23"/>
      <c r="M51" s="23"/>
      <c r="N51" s="23"/>
      <c r="O51" s="3"/>
      <c r="Q51" s="17"/>
      <c r="R51" s="17"/>
      <c r="S51" s="17"/>
      <c r="T51" s="17"/>
      <c r="U51" s="17"/>
    </row>
    <row r="52" spans="1:21" ht="16.5" thickTop="1" thickBot="1" x14ac:dyDescent="0.3">
      <c r="A52" s="5"/>
      <c r="B52" s="5"/>
      <c r="C52" s="5"/>
      <c r="D52" s="6"/>
      <c r="E52" s="6"/>
      <c r="F52" s="6"/>
      <c r="G52" s="6"/>
      <c r="H52" s="8"/>
      <c r="I52" s="8"/>
      <c r="J52" s="24"/>
      <c r="K52" s="24"/>
      <c r="L52" s="24"/>
      <c r="M52" s="24"/>
      <c r="N52" s="24"/>
      <c r="O52" s="8"/>
      <c r="P52" s="5"/>
      <c r="Q52" s="16"/>
      <c r="R52" s="16"/>
      <c r="S52" s="16"/>
      <c r="T52" s="16"/>
      <c r="U52" s="16"/>
    </row>
    <row r="53" spans="1:21" ht="15.75" thickTop="1" x14ac:dyDescent="0.25">
      <c r="A53" s="5"/>
      <c r="B53" s="5"/>
      <c r="C53" s="5"/>
      <c r="D53" s="6"/>
      <c r="E53" s="6"/>
      <c r="F53" s="6"/>
      <c r="G53" s="6"/>
      <c r="H53" s="8"/>
      <c r="I53" s="8"/>
      <c r="J53" s="24"/>
      <c r="K53" s="24"/>
      <c r="L53" s="24"/>
      <c r="M53" s="24"/>
      <c r="N53" s="24"/>
      <c r="O53" s="24"/>
      <c r="P53" s="5"/>
      <c r="Q53" s="16"/>
      <c r="R53" s="16"/>
      <c r="S53" s="16"/>
      <c r="T53" s="16"/>
      <c r="U53" s="16"/>
    </row>
    <row r="54" spans="1:21" x14ac:dyDescent="0.25">
      <c r="D54" s="3"/>
      <c r="E54" s="3"/>
      <c r="F54" s="3"/>
      <c r="G54" s="3"/>
      <c r="J54" s="3"/>
      <c r="K54" s="3"/>
      <c r="L54" s="3"/>
      <c r="M54" s="3"/>
      <c r="N54" s="3"/>
      <c r="Q54" s="17"/>
      <c r="R54" s="17"/>
      <c r="S54" s="17"/>
      <c r="T54" s="17"/>
      <c r="U54" s="17"/>
    </row>
    <row r="55" spans="1:21" x14ac:dyDescent="0.25">
      <c r="D55" s="3"/>
      <c r="E55" s="3"/>
      <c r="F55" s="3"/>
      <c r="G55" s="3"/>
      <c r="H55" s="9"/>
      <c r="I55" s="9"/>
      <c r="J55" s="23"/>
      <c r="K55" s="23"/>
      <c r="L55" s="23"/>
      <c r="M55" s="23"/>
      <c r="N55" s="23"/>
      <c r="Q55" s="17"/>
      <c r="R55" s="17"/>
      <c r="S55" s="17"/>
      <c r="T55" s="17"/>
      <c r="U55" s="1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C34" sqref="A32:E38"/>
    </sheetView>
  </sheetViews>
  <sheetFormatPr defaultColWidth="9.140625" defaultRowHeight="15" x14ac:dyDescent="0.25"/>
  <cols>
    <col min="1" max="1" width="3.7109375" customWidth="1"/>
    <col min="2" max="2" width="27.28515625" style="47" customWidth="1"/>
    <col min="3" max="3" width="13.28515625" style="47" customWidth="1"/>
    <col min="4" max="4" width="9.42578125" bestFit="1" customWidth="1"/>
    <col min="5" max="5" width="13.140625" bestFit="1" customWidth="1"/>
    <col min="6" max="8" width="9.140625" customWidth="1"/>
    <col min="9" max="9" width="101.140625" hidden="1" customWidth="1"/>
    <col min="10" max="10" width="9.42578125" hidden="1" customWidth="1"/>
    <col min="11" max="14" width="8.5703125" hidden="1" customWidth="1"/>
    <col min="15" max="15" width="9.140625" hidden="1" customWidth="1"/>
    <col min="16" max="16" width="9.5703125" hidden="1" customWidth="1"/>
    <col min="17" max="17" width="9.140625" customWidth="1"/>
  </cols>
  <sheetData>
    <row r="1" spans="1:16" x14ac:dyDescent="0.25">
      <c r="D1" s="1" t="s">
        <v>142</v>
      </c>
      <c r="E1" s="1" t="s">
        <v>510</v>
      </c>
      <c r="J1" s="1" t="s">
        <v>142</v>
      </c>
      <c r="K1" s="1" t="s">
        <v>8</v>
      </c>
      <c r="L1" s="1" t="s">
        <v>8</v>
      </c>
      <c r="M1" s="1" t="s">
        <v>8</v>
      </c>
      <c r="N1" s="1" t="s">
        <v>8</v>
      </c>
      <c r="P1" s="1" t="s">
        <v>8</v>
      </c>
    </row>
    <row r="2" spans="1:16" s="48" customFormat="1" x14ac:dyDescent="0.25">
      <c r="A2" s="48" t="s">
        <v>537</v>
      </c>
      <c r="B2" s="49"/>
    </row>
    <row r="3" spans="1:16" x14ac:dyDescent="0.25">
      <c r="B3" s="47" t="s">
        <v>538</v>
      </c>
      <c r="D3" s="45">
        <f>J3</f>
        <v>64</v>
      </c>
      <c r="E3" s="45">
        <f>P3</f>
        <v>118.25</v>
      </c>
      <c r="I3" t="s">
        <v>360</v>
      </c>
      <c r="J3" s="17">
        <f>VLOOKUP($I3,Table1[#All],MATCH(Fuel!Q$8,Table1[#Headers],0),FALSE)</f>
        <v>64</v>
      </c>
      <c r="K3" s="17">
        <f>VLOOKUP($I3,Table1[#All],MATCH(Fuel!R$8,Table1[#Headers],0),FALSE)</f>
        <v>117</v>
      </c>
      <c r="L3" s="17">
        <f>VLOOKUP($I3,Table1[#All],MATCH(Fuel!S$8,Table1[#Headers],0),FALSE)</f>
        <v>117.5</v>
      </c>
      <c r="M3" s="17">
        <f>VLOOKUP($I3,Table1[#All],MATCH(Fuel!T$8,Table1[#Headers],0),FALSE)</f>
        <v>105</v>
      </c>
      <c r="N3" s="17">
        <f>VLOOKUP($I3,Table1[#All],MATCH(Fuel!U$8,Table1[#Headers],0),FALSE)</f>
        <v>133.5</v>
      </c>
      <c r="P3" s="2">
        <f>AVERAGE(Overview!K3:N3)</f>
        <v>118.25</v>
      </c>
    </row>
    <row r="4" spans="1:16" x14ac:dyDescent="0.25">
      <c r="B4" s="47" t="s">
        <v>539</v>
      </c>
      <c r="D4" s="45">
        <f>J4</f>
        <v>0</v>
      </c>
      <c r="E4" s="45">
        <f>P4</f>
        <v>0</v>
      </c>
      <c r="I4" t="s">
        <v>361</v>
      </c>
      <c r="J4" s="17">
        <f>VLOOKUP($I4,Table1[#All],MATCH(Fuel!Q$8,Table1[#Headers],0),FALSE)</f>
        <v>0</v>
      </c>
      <c r="K4" s="17">
        <f>VLOOKUP($I4,Table1[#All],MATCH(Fuel!R$8,Table1[#Headers],0),FALSE)</f>
        <v>0</v>
      </c>
      <c r="L4" s="17">
        <f>VLOOKUP($I4,Table1[#All],MATCH(Fuel!S$8,Table1[#Headers],0),FALSE)</f>
        <v>0</v>
      </c>
      <c r="M4" s="17">
        <f>VLOOKUP($I4,Table1[#All],MATCH(Fuel!T$8,Table1[#Headers],0),FALSE)</f>
        <v>0</v>
      </c>
      <c r="N4" s="17">
        <f>VLOOKUP($I4,Table1[#All],MATCH(Fuel!U$8,Table1[#Headers],0),FALSE)</f>
        <v>0</v>
      </c>
      <c r="P4" s="2">
        <f>AVERAGE(Overview!K4:N4)</f>
        <v>0</v>
      </c>
    </row>
    <row r="5" spans="1:16" x14ac:dyDescent="0.25">
      <c r="D5" s="45"/>
      <c r="E5" s="45"/>
      <c r="J5" s="17"/>
      <c r="K5" s="17"/>
      <c r="L5" s="17"/>
      <c r="M5" s="17"/>
      <c r="N5" s="17"/>
      <c r="P5" s="2"/>
    </row>
    <row r="6" spans="1:16" s="48" customFormat="1" x14ac:dyDescent="0.25">
      <c r="A6" s="48" t="s">
        <v>522</v>
      </c>
      <c r="B6" s="49"/>
    </row>
    <row r="7" spans="1:16" x14ac:dyDescent="0.25">
      <c r="B7" s="47" t="s">
        <v>540</v>
      </c>
      <c r="D7" s="45">
        <f>J7</f>
        <v>56.34</v>
      </c>
      <c r="E7" s="45">
        <f>P7</f>
        <v>39.61</v>
      </c>
      <c r="I7" t="s">
        <v>385</v>
      </c>
      <c r="J7" s="17">
        <f>VLOOKUP($I7,Table1[#All],MATCH(Fuel!Q$8,Table1[#Headers],0),FALSE)</f>
        <v>56.34</v>
      </c>
      <c r="K7" s="17">
        <f>VLOOKUP($I7,Table1[#All],MATCH(Fuel!R$8,Table1[#Headers],0),FALSE)</f>
        <v>39.61</v>
      </c>
      <c r="L7" s="17">
        <f>VLOOKUP($I7,Table1[#All],MATCH(Fuel!S$8,Table1[#Headers],0),FALSE)</f>
        <v>39.61</v>
      </c>
      <c r="M7" s="17">
        <f>VLOOKUP($I7,Table1[#All],MATCH(Fuel!T$8,Table1[#Headers],0),FALSE)</f>
        <v>39.61</v>
      </c>
      <c r="N7" s="17">
        <f>VLOOKUP($I7,Table1[#All],MATCH(Fuel!U$8,Table1[#Headers],0),FALSE)</f>
        <v>39.61</v>
      </c>
      <c r="P7" s="2">
        <f>AVERAGE(Overview!K7:N7)</f>
        <v>39.61</v>
      </c>
    </row>
    <row r="8" spans="1:16" x14ac:dyDescent="0.25">
      <c r="B8" s="47" t="s">
        <v>511</v>
      </c>
      <c r="D8" s="45">
        <f>J8</f>
        <v>0.220387984329</v>
      </c>
      <c r="E8" s="45">
        <f>P8</f>
        <v>0.58466662507625</v>
      </c>
      <c r="I8" s="14" t="s">
        <v>391</v>
      </c>
      <c r="J8" s="17">
        <f>VLOOKUP($I8,Table1[#All],MATCH(Fuel!Q$8,Table1[#Headers],0),FALSE)</f>
        <v>0.220387984329</v>
      </c>
      <c r="K8" s="17">
        <f>VLOOKUP($I8,Table1[#All],MATCH(Fuel!R$8,Table1[#Headers],0),FALSE)</f>
        <v>0.58466575274999999</v>
      </c>
      <c r="L8" s="17">
        <f>VLOOKUP($I8,Table1[#All],MATCH(Fuel!S$8,Table1[#Headers],0),FALSE)</f>
        <v>0.58466617799800003</v>
      </c>
      <c r="M8" s="17">
        <f>VLOOKUP($I8,Table1[#All],MATCH(Fuel!T$8,Table1[#Headers],0),FALSE)</f>
        <v>0.58466660324399999</v>
      </c>
      <c r="N8" s="17">
        <f>VLOOKUP($I8,Table1[#All],MATCH(Fuel!U$8,Table1[#Headers],0),FALSE)</f>
        <v>0.584667966313</v>
      </c>
      <c r="P8" s="2">
        <f>AVERAGE(Overview!K8:N8)</f>
        <v>0.58466662507625</v>
      </c>
    </row>
    <row r="9" spans="1:16" x14ac:dyDescent="0.25">
      <c r="B9" s="47" t="s">
        <v>84</v>
      </c>
      <c r="D9" s="45">
        <f>J9</f>
        <v>1.573</v>
      </c>
      <c r="E9" s="45">
        <f>P9</f>
        <v>3.0819999999999999</v>
      </c>
      <c r="I9" s="15" t="s">
        <v>392</v>
      </c>
      <c r="J9" s="17">
        <f>VLOOKUP($I9,Table1[#All],MATCH(Fuel!Q$8,Table1[#Headers],0),FALSE)</f>
        <v>1.573</v>
      </c>
      <c r="K9" s="17">
        <f>VLOOKUP($I9,Table1[#All],MATCH(Fuel!R$8,Table1[#Headers],0),FALSE)</f>
        <v>3.0819999999999999</v>
      </c>
      <c r="L9" s="17">
        <f>VLOOKUP($I9,Table1[#All],MATCH(Fuel!S$8,Table1[#Headers],0),FALSE)</f>
        <v>3.0819999999999999</v>
      </c>
      <c r="M9" s="17">
        <f>VLOOKUP($I9,Table1[#All],MATCH(Fuel!T$8,Table1[#Headers],0),FALSE)</f>
        <v>3.0819999999999999</v>
      </c>
      <c r="N9" s="17">
        <f>VLOOKUP($I9,Table1[#All],MATCH(Fuel!U$8,Table1[#Headers],0),FALSE)</f>
        <v>3.0819999999999999</v>
      </c>
      <c r="P9" s="2">
        <f>AVERAGE(Overview!K9:N9)</f>
        <v>3.0819999999999999</v>
      </c>
    </row>
    <row r="10" spans="1:16" x14ac:dyDescent="0.25">
      <c r="B10" s="47" t="s">
        <v>519</v>
      </c>
      <c r="D10" s="45">
        <f t="shared" ref="D10:D21" si="0">J10</f>
        <v>0.47199999999999998</v>
      </c>
      <c r="E10" s="45">
        <f t="shared" ref="E10:E21" si="1">P10</f>
        <v>0.42799999999999999</v>
      </c>
      <c r="I10" s="14" t="s">
        <v>489</v>
      </c>
      <c r="J10" s="45">
        <f>VLOOKUP($I10,Table1[#All],MATCH(Fuel!Q$8,Table1[#Headers],0),FALSE)</f>
        <v>0.47199999999999998</v>
      </c>
      <c r="K10" s="45">
        <f>VLOOKUP($I10,Table1[#All],MATCH(Fuel!R$8,Table1[#Headers],0),FALSE)</f>
        <v>0.42799999999999999</v>
      </c>
      <c r="L10" s="45">
        <f>VLOOKUP($I10,Table1[#All],MATCH(Fuel!S$8,Table1[#Headers],0),FALSE)</f>
        <v>0.42799999999999999</v>
      </c>
      <c r="M10" s="45">
        <f>VLOOKUP($I10,Table1[#All],MATCH(Fuel!T$8,Table1[#Headers],0),FALSE)</f>
        <v>0.42799999999999999</v>
      </c>
      <c r="N10" s="45">
        <f>VLOOKUP($I10,Table1[#All],MATCH(Fuel!U$8,Table1[#Headers],0),FALSE)</f>
        <v>0.42799999999999999</v>
      </c>
      <c r="P10" s="2">
        <f>AVERAGE(Overview!K10:N10)</f>
        <v>0.42799999999999999</v>
      </c>
    </row>
    <row r="11" spans="1:16" x14ac:dyDescent="0.25">
      <c r="B11" s="47" t="s">
        <v>521</v>
      </c>
      <c r="D11" s="45">
        <f t="shared" si="0"/>
        <v>0.66100000000000003</v>
      </c>
      <c r="E11" s="45">
        <f t="shared" si="1"/>
        <v>0.308</v>
      </c>
      <c r="I11" s="15" t="s">
        <v>491</v>
      </c>
      <c r="J11" s="46">
        <f>VLOOKUP($I11,Table1[#All],MATCH(Fuel!Q$8,Table1[#Headers],0),FALSE)</f>
        <v>0.66100000000000003</v>
      </c>
      <c r="K11" s="46">
        <f>VLOOKUP($I11,Table1[#All],MATCH(Fuel!R$8,Table1[#Headers],0),FALSE)</f>
        <v>0.308</v>
      </c>
      <c r="L11" s="46">
        <f>VLOOKUP($I11,Table1[#All],MATCH(Fuel!S$8,Table1[#Headers],0),FALSE)</f>
        <v>0.308</v>
      </c>
      <c r="M11" s="46">
        <f>VLOOKUP($I11,Table1[#All],MATCH(Fuel!T$8,Table1[#Headers],0),FALSE)</f>
        <v>0.308</v>
      </c>
      <c r="N11" s="46">
        <f>VLOOKUP($I11,Table1[#All],MATCH(Fuel!U$8,Table1[#Headers],0),FALSE)</f>
        <v>0.308</v>
      </c>
      <c r="P11" s="2">
        <f>AVERAGE(Overview!K11:N11)</f>
        <v>0.308</v>
      </c>
    </row>
    <row r="12" spans="1:16" x14ac:dyDescent="0.25">
      <c r="D12" s="45"/>
      <c r="E12" s="45"/>
      <c r="I12" s="15"/>
      <c r="J12" s="46"/>
      <c r="K12" s="46"/>
      <c r="L12" s="46"/>
      <c r="M12" s="46"/>
      <c r="N12" s="46"/>
      <c r="P12" s="2"/>
    </row>
    <row r="13" spans="1:16" s="48" customFormat="1" x14ac:dyDescent="0.25">
      <c r="A13" s="48" t="s">
        <v>523</v>
      </c>
      <c r="B13" s="49"/>
    </row>
    <row r="14" spans="1:16" x14ac:dyDescent="0.25">
      <c r="B14" s="47" t="s">
        <v>512</v>
      </c>
      <c r="D14" s="45">
        <f t="shared" si="0"/>
        <v>3849.56</v>
      </c>
      <c r="E14" s="45">
        <f t="shared" si="1"/>
        <v>3849.56</v>
      </c>
      <c r="I14" s="14" t="s">
        <v>393</v>
      </c>
      <c r="J14" s="17">
        <f>VLOOKUP($I14,Table1[#All],MATCH(Fuel!Q$8,Table1[#Headers],0),FALSE)</f>
        <v>3849.56</v>
      </c>
      <c r="K14" s="17">
        <f>VLOOKUP($I14,Table1[#All],MATCH(Fuel!R$8,Table1[#Headers],0),FALSE)</f>
        <v>3849.56</v>
      </c>
      <c r="L14" s="17">
        <f>VLOOKUP($I14,Table1[#All],MATCH(Fuel!S$8,Table1[#Headers],0),FALSE)</f>
        <v>3849.56</v>
      </c>
      <c r="M14" s="17">
        <f>VLOOKUP($I14,Table1[#All],MATCH(Fuel!T$8,Table1[#Headers],0),FALSE)</f>
        <v>3849.56</v>
      </c>
      <c r="N14" s="17">
        <f>VLOOKUP($I14,Table1[#All],MATCH(Fuel!U$8,Table1[#Headers],0),FALSE)</f>
        <v>3849.56</v>
      </c>
      <c r="P14" s="2">
        <f>AVERAGE(Overview!K14:N14)</f>
        <v>3849.56</v>
      </c>
    </row>
    <row r="15" spans="1:16" x14ac:dyDescent="0.25">
      <c r="B15" s="47" t="s">
        <v>513</v>
      </c>
      <c r="D15" s="45">
        <f t="shared" si="0"/>
        <v>3321.97</v>
      </c>
      <c r="E15" s="45">
        <f t="shared" si="1"/>
        <v>3331.09</v>
      </c>
      <c r="I15" s="15" t="s">
        <v>394</v>
      </c>
      <c r="J15" s="17">
        <f>VLOOKUP($I15,Table1[#All],MATCH(Fuel!Q$8,Table1[#Headers],0),FALSE)</f>
        <v>3321.97</v>
      </c>
      <c r="K15" s="17">
        <f>VLOOKUP($I15,Table1[#All],MATCH(Fuel!R$8,Table1[#Headers],0),FALSE)</f>
        <v>3331.09</v>
      </c>
      <c r="L15" s="17">
        <f>VLOOKUP($I15,Table1[#All],MATCH(Fuel!S$8,Table1[#Headers],0),FALSE)</f>
        <v>3331.09</v>
      </c>
      <c r="M15" s="17">
        <f>VLOOKUP($I15,Table1[#All],MATCH(Fuel!T$8,Table1[#Headers],0),FALSE)</f>
        <v>3331.09</v>
      </c>
      <c r="N15" s="17">
        <f>VLOOKUP($I15,Table1[#All],MATCH(Fuel!U$8,Table1[#Headers],0),FALSE)</f>
        <v>3331.09</v>
      </c>
      <c r="P15" s="2">
        <f>AVERAGE(Overview!K15:N15)</f>
        <v>3331.09</v>
      </c>
    </row>
    <row r="16" spans="1:16" x14ac:dyDescent="0.25">
      <c r="B16" s="47" t="s">
        <v>514</v>
      </c>
      <c r="D16" s="45">
        <f t="shared" si="0"/>
        <v>527.59</v>
      </c>
      <c r="E16" s="45">
        <f t="shared" si="1"/>
        <v>518.47</v>
      </c>
      <c r="I16" s="14" t="s">
        <v>395</v>
      </c>
      <c r="J16" s="17">
        <f>VLOOKUP($I16,Table1[#All],MATCH(Fuel!Q$8,Table1[#Headers],0),FALSE)</f>
        <v>527.59</v>
      </c>
      <c r="K16" s="17">
        <f>VLOOKUP($I16,Table1[#All],MATCH(Fuel!R$8,Table1[#Headers],0),FALSE)</f>
        <v>518.47</v>
      </c>
      <c r="L16" s="17">
        <f>VLOOKUP($I16,Table1[#All],MATCH(Fuel!S$8,Table1[#Headers],0),FALSE)</f>
        <v>518.47</v>
      </c>
      <c r="M16" s="17">
        <f>VLOOKUP($I16,Table1[#All],MATCH(Fuel!T$8,Table1[#Headers],0),FALSE)</f>
        <v>518.47</v>
      </c>
      <c r="N16" s="17">
        <f>VLOOKUP($I16,Table1[#All],MATCH(Fuel!U$8,Table1[#Headers],0),FALSE)</f>
        <v>518.47</v>
      </c>
      <c r="P16" s="2">
        <f>AVERAGE(Overview!K16:N16)</f>
        <v>518.47</v>
      </c>
    </row>
    <row r="17" spans="1:16" x14ac:dyDescent="0.25">
      <c r="D17" s="45"/>
      <c r="E17" s="45"/>
      <c r="I17" s="14"/>
      <c r="J17" s="17"/>
      <c r="K17" s="17"/>
      <c r="L17" s="17"/>
      <c r="M17" s="17"/>
      <c r="N17" s="17"/>
      <c r="P17" s="2"/>
    </row>
    <row r="18" spans="1:16" s="48" customFormat="1" x14ac:dyDescent="0.25">
      <c r="A18" s="48" t="s">
        <v>524</v>
      </c>
      <c r="B18" s="49"/>
    </row>
    <row r="19" spans="1:16" x14ac:dyDescent="0.25">
      <c r="B19" s="47" t="s">
        <v>515</v>
      </c>
      <c r="C19" s="47" t="s">
        <v>516</v>
      </c>
      <c r="D19" s="45">
        <f t="shared" si="0"/>
        <v>8.6588999999999992</v>
      </c>
      <c r="E19" s="45">
        <f t="shared" si="1"/>
        <v>10.6982</v>
      </c>
      <c r="I19" s="15" t="s">
        <v>396</v>
      </c>
      <c r="J19" s="17">
        <f>VLOOKUP($I19,Table1[#All],MATCH(Fuel!Q$8,Table1[#Headers],0),FALSE)</f>
        <v>8.6588999999999992</v>
      </c>
      <c r="K19" s="17">
        <f>VLOOKUP($I19,Table1[#All],MATCH(Fuel!R$8,Table1[#Headers],0),FALSE)</f>
        <v>10.6982</v>
      </c>
      <c r="L19" s="17">
        <f>VLOOKUP($I19,Table1[#All],MATCH(Fuel!S$8,Table1[#Headers],0),FALSE)</f>
        <v>10.6982</v>
      </c>
      <c r="M19" s="17">
        <f>VLOOKUP($I19,Table1[#All],MATCH(Fuel!T$8,Table1[#Headers],0),FALSE)</f>
        <v>10.6982</v>
      </c>
      <c r="N19" s="17">
        <f>VLOOKUP($I19,Table1[#All],MATCH(Fuel!U$8,Table1[#Headers],0),FALSE)</f>
        <v>10.6982</v>
      </c>
      <c r="P19" s="2">
        <f>AVERAGE(Overview!K19:N19)</f>
        <v>10.6982</v>
      </c>
    </row>
    <row r="20" spans="1:16" x14ac:dyDescent="0.25">
      <c r="B20" s="47" t="s">
        <v>525</v>
      </c>
      <c r="D20" s="45">
        <f t="shared" ref="D20" si="2">J20</f>
        <v>10.3294</v>
      </c>
      <c r="E20" s="45">
        <f t="shared" ref="E20" si="3">P20</f>
        <v>10.2242</v>
      </c>
      <c r="I20" s="15" t="s">
        <v>398</v>
      </c>
      <c r="J20" s="17">
        <f>VLOOKUP($I20,Table1[#All],MATCH(Fuel!Q$8,Table1[#Headers],0),FALSE)</f>
        <v>10.3294</v>
      </c>
      <c r="K20" s="17">
        <f>VLOOKUP($I20,Table1[#All],MATCH(Fuel!R$8,Table1[#Headers],0),FALSE)</f>
        <v>10.2242</v>
      </c>
      <c r="L20" s="17">
        <f>VLOOKUP($I20,Table1[#All],MATCH(Fuel!S$8,Table1[#Headers],0),FALSE)</f>
        <v>10.2242</v>
      </c>
      <c r="M20" s="17">
        <f>VLOOKUP($I20,Table1[#All],MATCH(Fuel!T$8,Table1[#Headers],0),FALSE)</f>
        <v>10.2242</v>
      </c>
      <c r="N20" s="17">
        <f>VLOOKUP($I20,Table1[#All],MATCH(Fuel!U$8,Table1[#Headers],0),FALSE)</f>
        <v>10.2242</v>
      </c>
      <c r="P20" s="2">
        <f>AVERAGE(Overview!K20:N20)</f>
        <v>10.2242</v>
      </c>
    </row>
    <row r="21" spans="1:16" x14ac:dyDescent="0.25">
      <c r="B21" s="47" t="s">
        <v>517</v>
      </c>
      <c r="C21" s="47" t="s">
        <v>518</v>
      </c>
      <c r="D21" s="45">
        <f t="shared" si="0"/>
        <v>9.3699999999999992</v>
      </c>
      <c r="E21" s="45">
        <f t="shared" si="1"/>
        <v>9.4600000000000009</v>
      </c>
      <c r="I21" s="14" t="s">
        <v>397</v>
      </c>
      <c r="J21" s="17">
        <f>VLOOKUP($I21,Table1[#All],MATCH(Fuel!Q$8,Table1[#Headers],0),FALSE)</f>
        <v>9.3699999999999992</v>
      </c>
      <c r="K21" s="17">
        <f>VLOOKUP($I21,Table1[#All],MATCH(Fuel!R$8,Table1[#Headers],0),FALSE)</f>
        <v>9.4600000000000009</v>
      </c>
      <c r="L21" s="17">
        <f>VLOOKUP($I21,Table1[#All],MATCH(Fuel!S$8,Table1[#Headers],0),FALSE)</f>
        <v>9.4600000000000009</v>
      </c>
      <c r="M21" s="17">
        <f>VLOOKUP($I21,Table1[#All],MATCH(Fuel!T$8,Table1[#Headers],0),FALSE)</f>
        <v>9.4600000000000009</v>
      </c>
      <c r="N21" s="17">
        <f>VLOOKUP($I21,Table1[#All],MATCH(Fuel!U$8,Table1[#Headers],0),FALSE)</f>
        <v>9.4600000000000009</v>
      </c>
      <c r="P21" s="2">
        <f>AVERAGE(Overview!K21:N21)</f>
        <v>9.4600000000000009</v>
      </c>
    </row>
    <row r="22" spans="1:16" x14ac:dyDescent="0.25">
      <c r="B22" s="47" t="s">
        <v>102</v>
      </c>
      <c r="D22" s="45">
        <f t="shared" ref="D22" si="4">J22</f>
        <v>410.83884738527217</v>
      </c>
      <c r="E22" s="45">
        <f t="shared" ref="E22" si="5">P22</f>
        <v>406.93023255813949</v>
      </c>
      <c r="I22" s="41" t="s">
        <v>102</v>
      </c>
      <c r="J22" s="43">
        <f>J14/J21</f>
        <v>410.83884738527217</v>
      </c>
      <c r="K22" s="43">
        <f>K14/K21</f>
        <v>406.93023255813949</v>
      </c>
      <c r="L22" s="43">
        <f>L14/L21</f>
        <v>406.93023255813949</v>
      </c>
      <c r="M22" s="43">
        <f>M14/M21</f>
        <v>406.93023255813949</v>
      </c>
      <c r="N22" s="43">
        <f>N14/N21</f>
        <v>406.93023255813949</v>
      </c>
      <c r="P22" s="2">
        <f>AVERAGE(Overview!K22:N22)</f>
        <v>406.93023255813949</v>
      </c>
    </row>
    <row r="23" spans="1:16" x14ac:dyDescent="0.25">
      <c r="B23"/>
      <c r="I23" s="41"/>
      <c r="J23" s="43"/>
      <c r="K23" s="43"/>
      <c r="L23" s="43"/>
      <c r="M23" s="43"/>
      <c r="N23" s="43"/>
      <c r="P23" s="2"/>
    </row>
    <row r="24" spans="1:16" s="48" customFormat="1" x14ac:dyDescent="0.25">
      <c r="A24" s="48" t="s">
        <v>527</v>
      </c>
      <c r="B24" s="49"/>
    </row>
    <row r="25" spans="1:16" x14ac:dyDescent="0.25">
      <c r="B25" s="47" t="s">
        <v>528</v>
      </c>
      <c r="C25" s="47" t="s">
        <v>530</v>
      </c>
      <c r="D25" s="45">
        <f t="shared" ref="D25:E25" si="6">J25</f>
        <v>10.4121312694</v>
      </c>
      <c r="E25" s="45">
        <f t="shared" si="6"/>
        <v>8.3600520527800004</v>
      </c>
      <c r="I25" s="14" t="s">
        <v>478</v>
      </c>
      <c r="J25" s="17">
        <f>VLOOKUP($I25,Table1[#All],MATCH(Fuel!Q$8,Table1[#Headers],0),FALSE)</f>
        <v>10.4121312694</v>
      </c>
      <c r="K25" s="17">
        <f>VLOOKUP($I25,Table1[#All],MATCH(Fuel!R$8,Table1[#Headers],0),FALSE)</f>
        <v>8.3600520527800004</v>
      </c>
      <c r="L25" s="17">
        <f>VLOOKUP($I25,Table1[#All],MATCH(Fuel!S$8,Table1[#Headers],0),FALSE)</f>
        <v>8.2960475749999993</v>
      </c>
      <c r="M25" s="17">
        <f>VLOOKUP($I25,Table1[#All],MATCH(Fuel!T$8,Table1[#Headers],0),FALSE)</f>
        <v>8.3789301500000004</v>
      </c>
      <c r="N25" s="17">
        <f>VLOOKUP($I25,Table1[#All],MATCH(Fuel!U$8,Table1[#Headers],0),FALSE)</f>
        <v>8.2514050166700006</v>
      </c>
      <c r="P25" s="2">
        <f>AVERAGE(Overview!K25:N25)</f>
        <v>8.3216086986125006</v>
      </c>
    </row>
    <row r="26" spans="1:16" x14ac:dyDescent="0.25">
      <c r="B26" s="47" t="s">
        <v>529</v>
      </c>
      <c r="C26" s="47" t="s">
        <v>530</v>
      </c>
      <c r="D26" s="45">
        <f>J26</f>
        <v>2.5311601166700002</v>
      </c>
      <c r="E26" s="45">
        <f t="shared" ref="E26:E27" si="7">K26</f>
        <v>2.4209483305599999</v>
      </c>
      <c r="I26" s="15" t="s">
        <v>480</v>
      </c>
      <c r="J26" s="17">
        <f>VLOOKUP($I26,Table1[#All],MATCH(Fuel!Q$8,Table1[#Headers],0),FALSE)</f>
        <v>2.5311601166700002</v>
      </c>
      <c r="K26" s="17">
        <f>VLOOKUP($I26,Table1[#All],MATCH(Fuel!R$8,Table1[#Headers],0),FALSE)</f>
        <v>2.4209483305599999</v>
      </c>
      <c r="L26" s="17">
        <f>VLOOKUP($I26,Table1[#All],MATCH(Fuel!S$8,Table1[#Headers],0),FALSE)</f>
        <v>2.4093108722199998</v>
      </c>
      <c r="M26" s="17">
        <f>VLOOKUP($I26,Table1[#All],MATCH(Fuel!T$8,Table1[#Headers],0),FALSE)</f>
        <v>2.4204889305599999</v>
      </c>
      <c r="N26" s="17">
        <f>VLOOKUP($I26,Table1[#All],MATCH(Fuel!U$8,Table1[#Headers],0),FALSE)</f>
        <v>2.4154602083299999</v>
      </c>
      <c r="P26" s="2">
        <f>AVERAGE(Overview!K26:N26)</f>
        <v>2.4165520854175</v>
      </c>
    </row>
    <row r="27" spans="1:16" x14ac:dyDescent="0.25">
      <c r="B27" s="47" t="s">
        <v>542</v>
      </c>
      <c r="C27" s="47" t="s">
        <v>526</v>
      </c>
      <c r="D27" s="45">
        <f>J27</f>
        <v>3.1343242923325616</v>
      </c>
      <c r="E27" s="45">
        <f t="shared" si="7"/>
        <v>2.5097046470614721</v>
      </c>
      <c r="I27" s="41" t="s">
        <v>482</v>
      </c>
      <c r="J27" s="42">
        <f>J25/J15 * 1000</f>
        <v>3.1343242923325616</v>
      </c>
      <c r="K27" s="42">
        <f>K25/K15 * 1000</f>
        <v>2.5097046470614721</v>
      </c>
      <c r="L27" s="42">
        <f>L25/L15 * 1000</f>
        <v>2.4904903725207062</v>
      </c>
      <c r="M27" s="42">
        <f>M25/M15 * 1000</f>
        <v>2.51537189028216</v>
      </c>
      <c r="N27" s="42">
        <f>N25/N15 * 1000</f>
        <v>2.4770885856191218</v>
      </c>
      <c r="P27" s="2">
        <f>AVERAGE(Overview!K27:N27)</f>
        <v>2.4981638738708649</v>
      </c>
    </row>
    <row r="28" spans="1:16" x14ac:dyDescent="0.25">
      <c r="B28" s="47" t="s">
        <v>541</v>
      </c>
      <c r="C28" s="47" t="s">
        <v>526</v>
      </c>
      <c r="D28" s="45">
        <f t="shared" ref="D28:D30" si="8">J28</f>
        <v>0.76194550723516474</v>
      </c>
      <c r="E28" s="45">
        <f t="shared" ref="E28:E30" si="9">K28</f>
        <v>4.6694087036086946</v>
      </c>
      <c r="I28" s="41" t="s">
        <v>541</v>
      </c>
      <c r="J28" s="42">
        <f>J26/J15 * 1000</f>
        <v>0.76194550723516474</v>
      </c>
      <c r="K28" s="42">
        <f t="shared" ref="K28:N28" si="10">K26/K16 * 1000</f>
        <v>4.6694087036086946</v>
      </c>
      <c r="L28" s="42">
        <f t="shared" si="10"/>
        <v>4.6469629336702214</v>
      </c>
      <c r="M28" s="42">
        <f t="shared" si="10"/>
        <v>4.6685226349837015</v>
      </c>
      <c r="N28" s="42">
        <f t="shared" si="10"/>
        <v>4.6588234774046704</v>
      </c>
      <c r="P28" s="2">
        <f>AVERAGE(Overview!K28:N28)</f>
        <v>4.6609294374168222</v>
      </c>
    </row>
    <row r="29" spans="1:16" x14ac:dyDescent="0.25">
      <c r="B29" s="47" t="s">
        <v>543</v>
      </c>
      <c r="C29" s="47" t="s">
        <v>547</v>
      </c>
      <c r="D29" s="45">
        <f t="shared" si="8"/>
        <v>25.343589915283303</v>
      </c>
      <c r="E29" s="45">
        <f t="shared" si="9"/>
        <v>20.544190094270206</v>
      </c>
      <c r="I29" s="41" t="s">
        <v>545</v>
      </c>
      <c r="J29" s="42">
        <f>J25/J22 * 1000</f>
        <v>25.343589915283303</v>
      </c>
      <c r="K29" s="42">
        <f>K25/K22 * 1000</f>
        <v>20.544190094270206</v>
      </c>
      <c r="L29" s="42">
        <f t="shared" ref="L29:N29" si="11">L25/L22 * 1000</f>
        <v>20.386903973311234</v>
      </c>
      <c r="M29" s="42">
        <f t="shared" si="11"/>
        <v>20.590581577894621</v>
      </c>
      <c r="N29" s="42">
        <f t="shared" si="11"/>
        <v>20.277198292193969</v>
      </c>
      <c r="P29" s="2">
        <f>AVERAGE(Overview!K29:N29)</f>
        <v>20.44971848441751</v>
      </c>
    </row>
    <row r="30" spans="1:16" x14ac:dyDescent="0.25">
      <c r="B30" s="47" t="s">
        <v>544</v>
      </c>
      <c r="C30" s="47" t="s">
        <v>547</v>
      </c>
      <c r="D30" s="50">
        <f t="shared" si="8"/>
        <v>6.1609561334796448</v>
      </c>
      <c r="E30" s="50">
        <f t="shared" si="9"/>
        <v>5.9492958174694257</v>
      </c>
      <c r="I30" s="41" t="s">
        <v>546</v>
      </c>
      <c r="J30" s="42">
        <f>J26/J22 * 1000</f>
        <v>6.1609561334796448</v>
      </c>
      <c r="K30" s="42">
        <f t="shared" ref="K30:N30" si="12">K26/K22 * 1000</f>
        <v>5.9492958174694257</v>
      </c>
      <c r="L30" s="42">
        <f t="shared" si="12"/>
        <v>5.9206976514721683</v>
      </c>
      <c r="M30" s="42">
        <f t="shared" si="12"/>
        <v>5.9481668770190881</v>
      </c>
      <c r="N30" s="42">
        <f t="shared" si="12"/>
        <v>5.9358091758023779</v>
      </c>
      <c r="P30" s="2">
        <f>AVERAGE(Overview!K30:N30)</f>
        <v>5.9384923804407652</v>
      </c>
    </row>
    <row r="31" spans="1:16" x14ac:dyDescent="0.25">
      <c r="D31" s="45"/>
      <c r="E31" s="45"/>
      <c r="I31" s="41"/>
      <c r="J31" s="42"/>
      <c r="K31" s="42"/>
      <c r="L31" s="42"/>
      <c r="M31" s="42"/>
      <c r="N31" s="42"/>
      <c r="P31" s="2"/>
    </row>
    <row r="32" spans="1:16" s="48" customFormat="1" x14ac:dyDescent="0.25">
      <c r="A32" s="48" t="s">
        <v>531</v>
      </c>
      <c r="B32" s="49"/>
    </row>
    <row r="33" spans="1:16" x14ac:dyDescent="0.25">
      <c r="B33" s="47" t="s">
        <v>533</v>
      </c>
      <c r="C33" s="47" t="s">
        <v>516</v>
      </c>
      <c r="D33" s="45">
        <f>J33/D15</f>
        <v>65.7195760347023</v>
      </c>
      <c r="E33" s="45">
        <f>K33/E15</f>
        <v>48.199922547874721</v>
      </c>
      <c r="I33" s="14" t="s">
        <v>493</v>
      </c>
      <c r="J33" s="17">
        <f>VLOOKUP($I33,Table1[#All],MATCH(Fuel!Q$8,Table1[#Headers],0),FALSE)</f>
        <v>218318.46</v>
      </c>
      <c r="K33" s="17">
        <f>VLOOKUP($I33,Table1[#All],MATCH(Fuel!R$8,Table1[#Headers],0),FALSE)</f>
        <v>160558.28</v>
      </c>
      <c r="L33" s="17">
        <f>VLOOKUP($I33,Table1[#All],MATCH(Fuel!S$8,Table1[#Headers],0),FALSE)</f>
        <v>149619.87</v>
      </c>
      <c r="M33" s="17">
        <f>VLOOKUP($I33,Table1[#All],MATCH(Fuel!T$8,Table1[#Headers],0),FALSE)</f>
        <v>161848.57</v>
      </c>
      <c r="N33" s="17">
        <f>VLOOKUP($I33,Table1[#All],MATCH(Fuel!U$8,Table1[#Headers],0),FALSE)</f>
        <v>149560.10999999999</v>
      </c>
      <c r="P33" s="2">
        <f>AVERAGE(Overview!K33:N33)</f>
        <v>155396.70750000002</v>
      </c>
    </row>
    <row r="34" spans="1:16" x14ac:dyDescent="0.25">
      <c r="B34" s="47" t="s">
        <v>532</v>
      </c>
      <c r="C34" s="47" t="s">
        <v>516</v>
      </c>
      <c r="D34" s="45">
        <f>J34/D15</f>
        <v>65.7195760347023</v>
      </c>
      <c r="E34" s="45">
        <f>K34/E15</f>
        <v>55.429889315509342</v>
      </c>
      <c r="I34" s="15" t="s">
        <v>496</v>
      </c>
      <c r="J34" s="17">
        <f>VLOOKUP($I34,Table1[#All],MATCH(Fuel!Q$8,Table1[#Headers],0),FALSE)</f>
        <v>218318.46</v>
      </c>
      <c r="K34" s="17">
        <f>VLOOKUP($I34,Table1[#All],MATCH(Fuel!R$8,Table1[#Headers],0),FALSE)</f>
        <v>184641.95</v>
      </c>
      <c r="L34" s="17">
        <f>VLOOKUP($I34,Table1[#All],MATCH(Fuel!S$8,Table1[#Headers],0),FALSE)</f>
        <v>172062.86</v>
      </c>
      <c r="M34" s="17">
        <f>VLOOKUP($I34,Table1[#All],MATCH(Fuel!T$8,Table1[#Headers],0),FALSE)</f>
        <v>186125.78</v>
      </c>
      <c r="N34" s="17">
        <f>VLOOKUP($I34,Table1[#All],MATCH(Fuel!U$8,Table1[#Headers],0),FALSE)</f>
        <v>171994.12</v>
      </c>
      <c r="P34" s="2">
        <f>AVERAGE(Overview!K34:N34)</f>
        <v>178706.17749999999</v>
      </c>
    </row>
    <row r="35" spans="1:16" x14ac:dyDescent="0.25">
      <c r="B35" s="47" t="s">
        <v>534</v>
      </c>
      <c r="D35" s="51">
        <f>D34/D33</f>
        <v>1</v>
      </c>
      <c r="E35" s="51">
        <f>E34/E33</f>
        <v>1.149999551564703</v>
      </c>
      <c r="I35" s="15"/>
      <c r="J35" s="17"/>
      <c r="K35" s="17"/>
      <c r="L35" s="17"/>
      <c r="M35" s="17"/>
      <c r="N35" s="17"/>
      <c r="P35" s="2"/>
    </row>
    <row r="36" spans="1:16" x14ac:dyDescent="0.25">
      <c r="B36" s="47" t="s">
        <v>535</v>
      </c>
      <c r="C36" s="47" t="s">
        <v>516</v>
      </c>
      <c r="D36" s="45">
        <f>J36/D15</f>
        <v>63.198132433465688</v>
      </c>
      <c r="E36" s="45">
        <f>K36/E15</f>
        <v>34.509631982324102</v>
      </c>
      <c r="I36" s="14" t="s">
        <v>502</v>
      </c>
      <c r="J36" s="17">
        <f>VLOOKUP($I36,Table1[#All],MATCH(Fuel!Q$8,Table1[#Headers],0),FALSE)</f>
        <v>209942.3</v>
      </c>
      <c r="K36" s="17">
        <f>VLOOKUP($I36,Table1[#All],MATCH(Fuel!R$8,Table1[#Headers],0),FALSE)</f>
        <v>114954.69</v>
      </c>
      <c r="L36" s="17">
        <f>VLOOKUP($I36,Table1[#All],MATCH(Fuel!S$8,Table1[#Headers],0),FALSE)</f>
        <v>114511.13</v>
      </c>
      <c r="M36" s="17">
        <f>VLOOKUP($I36,Table1[#All],MATCH(Fuel!T$8,Table1[#Headers],0),FALSE)</f>
        <v>114826.71</v>
      </c>
      <c r="N36" s="17">
        <f>VLOOKUP($I36,Table1[#All],MATCH(Fuel!U$8,Table1[#Headers],0),FALSE)</f>
        <v>114560.42</v>
      </c>
      <c r="P36" s="2">
        <f>AVERAGE(Overview!K36:N36)</f>
        <v>114713.2375</v>
      </c>
    </row>
    <row r="37" spans="1:16" x14ac:dyDescent="0.25">
      <c r="B37" s="47" t="s">
        <v>536</v>
      </c>
      <c r="C37" s="47" t="s">
        <v>516</v>
      </c>
      <c r="D37" s="45">
        <f>J37/D15</f>
        <v>63.198132433465688</v>
      </c>
      <c r="E37" s="45">
        <f>K37/E15</f>
        <v>43.137030221338954</v>
      </c>
      <c r="I37" s="15" t="s">
        <v>504</v>
      </c>
      <c r="J37" s="17">
        <f>VLOOKUP($I37,Table1[#All],MATCH(Fuel!Q$8,Table1[#Headers],0),FALSE)</f>
        <v>209942.3</v>
      </c>
      <c r="K37" s="17">
        <f>VLOOKUP($I37,Table1[#All],MATCH(Fuel!R$8,Table1[#Headers],0),FALSE)</f>
        <v>143693.32999999999</v>
      </c>
      <c r="L37" s="17">
        <f>VLOOKUP($I37,Table1[#All],MATCH(Fuel!S$8,Table1[#Headers],0),FALSE)</f>
        <v>143138.88</v>
      </c>
      <c r="M37" s="17">
        <f>VLOOKUP($I37,Table1[#All],MATCH(Fuel!T$8,Table1[#Headers],0),FALSE)</f>
        <v>143533.39000000001</v>
      </c>
      <c r="N37" s="17">
        <f>VLOOKUP($I37,Table1[#All],MATCH(Fuel!U$8,Table1[#Headers],0),FALSE)</f>
        <v>143200.57999999999</v>
      </c>
      <c r="P37" s="2">
        <f>AVERAGE(Overview!K37:N37)</f>
        <v>143391.54499999998</v>
      </c>
    </row>
    <row r="38" spans="1:16" x14ac:dyDescent="0.25">
      <c r="B38" s="47" t="s">
        <v>534</v>
      </c>
      <c r="D38" s="51">
        <f>D37/D36</f>
        <v>1</v>
      </c>
      <c r="E38" s="51">
        <f>E37/E36</f>
        <v>1.2499997172799124</v>
      </c>
      <c r="I38" s="14" t="s">
        <v>498</v>
      </c>
      <c r="J38" s="17">
        <f>VLOOKUP($I38,Table1[#All],MATCH(Fuel!Q$8,Table1[#Headers],0),FALSE)</f>
        <v>16.218</v>
      </c>
      <c r="K38" s="17">
        <f>VLOOKUP($I38,Table1[#All],MATCH(Fuel!R$8,Table1[#Headers],0),FALSE)</f>
        <v>11.930999999999999</v>
      </c>
      <c r="L38" s="17">
        <f>VLOOKUP($I38,Table1[#All],MATCH(Fuel!S$8,Table1[#Headers],0),FALSE)</f>
        <v>11.12</v>
      </c>
      <c r="M38" s="17">
        <f>VLOOKUP($I38,Table1[#All],MATCH(Fuel!T$8,Table1[#Headers],0),FALSE)</f>
        <v>12.025</v>
      </c>
      <c r="N38" s="17">
        <f>VLOOKUP($I38,Table1[#All],MATCH(Fuel!U$8,Table1[#Headers],0),FALSE)</f>
        <v>11.118</v>
      </c>
      <c r="P38" s="2">
        <f>AVERAGE(Overview!K38:N38)</f>
        <v>11.548500000000001</v>
      </c>
    </row>
    <row r="39" spans="1:16" x14ac:dyDescent="0.25">
      <c r="I39" s="15" t="s">
        <v>500</v>
      </c>
      <c r="J39" s="17">
        <f>VLOOKUP($I39,Table1[#All],MATCH(Fuel!Q$8,Table1[#Headers],0),FALSE)</f>
        <v>16.809000000000001</v>
      </c>
      <c r="K39" s="17">
        <f>VLOOKUP($I39,Table1[#All],MATCH(Fuel!R$8,Table1[#Headers],0),FALSE)</f>
        <v>14.526</v>
      </c>
      <c r="L39" s="17">
        <f>VLOOKUP($I39,Table1[#All],MATCH(Fuel!S$8,Table1[#Headers],0),FALSE)</f>
        <v>13.898</v>
      </c>
      <c r="M39" s="17">
        <f>VLOOKUP($I39,Table1[#All],MATCH(Fuel!T$8,Table1[#Headers],0),FALSE)</f>
        <v>14.606</v>
      </c>
      <c r="N39" s="17">
        <f>VLOOKUP($I39,Table1[#All],MATCH(Fuel!U$8,Table1[#Headers],0),FALSE)</f>
        <v>13.894</v>
      </c>
      <c r="P39" s="2">
        <f>AVERAGE(Overview!K39:N39)</f>
        <v>14.231</v>
      </c>
    </row>
    <row r="40" spans="1:16" x14ac:dyDescent="0.25">
      <c r="I40" s="14" t="s">
        <v>506</v>
      </c>
      <c r="J40" s="17">
        <f>VLOOKUP($I40,Table1[#All],MATCH(Fuel!Q$8,Table1[#Headers],0),FALSE)</f>
        <v>15.744</v>
      </c>
      <c r="K40" s="17">
        <f>VLOOKUP($I40,Table1[#All],MATCH(Fuel!R$8,Table1[#Headers],0),FALSE)</f>
        <v>8.6240000000000006</v>
      </c>
      <c r="L40" s="17">
        <f>VLOOKUP($I40,Table1[#All],MATCH(Fuel!S$8,Table1[#Headers],0),FALSE)</f>
        <v>8.5850000000000009</v>
      </c>
      <c r="M40" s="17">
        <f>VLOOKUP($I40,Table1[#All],MATCH(Fuel!T$8,Table1[#Headers],0),FALSE)</f>
        <v>8.6120000000000001</v>
      </c>
      <c r="N40" s="17">
        <f>VLOOKUP($I40,Table1[#All],MATCH(Fuel!U$8,Table1[#Headers],0),FALSE)</f>
        <v>8.5890000000000004</v>
      </c>
      <c r="P40" s="2">
        <f>AVERAGE(Overview!K40:N40)</f>
        <v>8.6025000000000009</v>
      </c>
    </row>
    <row r="41" spans="1:16" x14ac:dyDescent="0.25">
      <c r="I41" s="44" t="s">
        <v>508</v>
      </c>
      <c r="J41" s="17">
        <f>VLOOKUP($I41,Table1[#All],MATCH(Fuel!Q$8,Table1[#Headers],0),FALSE)</f>
        <v>16.687000000000001</v>
      </c>
      <c r="K41" s="17">
        <f>VLOOKUP($I41,Table1[#All],MATCH(Fuel!R$8,Table1[#Headers],0),FALSE)</f>
        <v>12.941000000000001</v>
      </c>
      <c r="L41" s="17">
        <f>VLOOKUP($I41,Table1[#All],MATCH(Fuel!S$8,Table1[#Headers],0),FALSE)</f>
        <v>12.936999999999999</v>
      </c>
      <c r="M41" s="17">
        <f>VLOOKUP($I41,Table1[#All],MATCH(Fuel!T$8,Table1[#Headers],0),FALSE)</f>
        <v>12.930999999999999</v>
      </c>
      <c r="N41" s="17">
        <f>VLOOKUP($I41,Table1[#All],MATCH(Fuel!U$8,Table1[#Headers],0),FALSE)</f>
        <v>12.919</v>
      </c>
      <c r="P41" s="2">
        <f>AVERAGE(Overview!K41:N41)</f>
        <v>12.931999999999999</v>
      </c>
    </row>
    <row r="44" spans="1:16" s="48" customFormat="1" x14ac:dyDescent="0.25">
      <c r="A44" s="48" t="s">
        <v>548</v>
      </c>
      <c r="I44" s="48" t="s">
        <v>407</v>
      </c>
      <c r="J44" s="48">
        <f>VLOOKUP($I44,Table1[#All],MATCH(Fuel!Q$8,Table1[#Headers],0),FALSE)</f>
        <v>9.1210000000000004</v>
      </c>
      <c r="K44" s="48">
        <f>VLOOKUP($I44,Table1[#All],MATCH(Fuel!R$8,Table1[#Headers],0),FALSE)</f>
        <v>11.376200000000001</v>
      </c>
      <c r="L44" s="48">
        <f>VLOOKUP($I44,Table1[#All],MATCH(Fuel!S$8,Table1[#Headers],0),FALSE)</f>
        <v>11.376200000000001</v>
      </c>
      <c r="M44" s="48">
        <f>VLOOKUP($I44,Table1[#All],MATCH(Fuel!T$8,Table1[#Headers],0),FALSE)</f>
        <v>11.376200000000001</v>
      </c>
      <c r="N44" s="48">
        <f>VLOOKUP($I44,Table1[#All],MATCH(Fuel!U$8,Table1[#Headers],0),FALSE)</f>
        <v>11.376200000000001</v>
      </c>
      <c r="P44" s="48">
        <f>AVERAGE(Overview!K44:N44)</f>
        <v>11.376200000000001</v>
      </c>
    </row>
    <row r="45" spans="1:16" x14ac:dyDescent="0.25">
      <c r="B45" s="47" t="s">
        <v>520</v>
      </c>
      <c r="D45" s="45">
        <f>J45</f>
        <v>1.573</v>
      </c>
      <c r="E45" s="45">
        <f>P45</f>
        <v>3.0819999999999999</v>
      </c>
      <c r="I45" s="15" t="s">
        <v>486</v>
      </c>
      <c r="J45" s="45">
        <f>VLOOKUP($I45,Table1[#All],MATCH(Fuel!Q$8,Table1[#Headers],0),FALSE)</f>
        <v>1.573</v>
      </c>
      <c r="K45" s="45">
        <f>VLOOKUP($I45,Table1[#All],MATCH(Fuel!R$8,Table1[#Headers],0),FALSE)</f>
        <v>3.0819999999999999</v>
      </c>
      <c r="L45" s="45">
        <f>VLOOKUP($I45,Table1[#All],MATCH(Fuel!S$8,Table1[#Headers],0),FALSE)</f>
        <v>3.0819999999999999</v>
      </c>
      <c r="M45" s="45">
        <f>VLOOKUP($I45,Table1[#All],MATCH(Fuel!T$8,Table1[#Headers],0),FALSE)</f>
        <v>3.0819999999999999</v>
      </c>
      <c r="N45" s="45">
        <f>VLOOKUP($I45,Table1[#All],MATCH(Fuel!U$8,Table1[#Headers],0),FALSE)</f>
        <v>3.0819999999999999</v>
      </c>
      <c r="P45" s="2">
        <f>AVERAGE(Overview!K45:N45)</f>
        <v>3.0819999999999999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50"/>
  <sheetViews>
    <sheetView topLeftCell="A6" zoomScale="85" zoomScaleNormal="85" workbookViewId="0">
      <selection activeCell="C10" sqref="C10:D10"/>
    </sheetView>
  </sheetViews>
  <sheetFormatPr defaultColWidth="9.140625" defaultRowHeight="15" x14ac:dyDescent="0.25"/>
  <cols>
    <col min="1" max="1" width="77" bestFit="1" customWidth="1"/>
    <col min="2" max="2" width="22.85546875" bestFit="1" customWidth="1"/>
    <col min="3" max="4" width="33.140625" customWidth="1"/>
    <col min="5" max="7" width="11.5703125" bestFit="1" customWidth="1"/>
    <col min="8" max="8" width="12.5703125" bestFit="1" customWidth="1"/>
  </cols>
  <sheetData>
    <row r="8" spans="1:8" x14ac:dyDescent="0.25">
      <c r="C8" t="s">
        <v>142</v>
      </c>
      <c r="D8" t="s">
        <v>8</v>
      </c>
      <c r="E8" t="s">
        <v>97</v>
      </c>
      <c r="F8" t="s">
        <v>98</v>
      </c>
      <c r="G8" t="s">
        <v>99</v>
      </c>
      <c r="H8" t="s">
        <v>8</v>
      </c>
    </row>
    <row r="9" spans="1:8" x14ac:dyDescent="0.25">
      <c r="C9" t="s">
        <v>0</v>
      </c>
      <c r="D9" t="s">
        <v>0</v>
      </c>
      <c r="E9" t="s">
        <v>0</v>
      </c>
      <c r="F9" t="s">
        <v>0</v>
      </c>
      <c r="G9" t="s">
        <v>0</v>
      </c>
    </row>
    <row r="10" spans="1:8" x14ac:dyDescent="0.25">
      <c r="A10" t="s">
        <v>429</v>
      </c>
      <c r="B10" t="s">
        <v>463</v>
      </c>
      <c r="C10" s="3">
        <f>VLOOKUP($A10,Table1[#All],MATCH(C$8,Table1[#Headers],0),FALSE)</f>
        <v>32.236249100000002</v>
      </c>
      <c r="D10">
        <f>VLOOKUP($A10,Table1[#All],MATCH(D$8,Table1[#Headers],0),FALSE)</f>
        <v>104.7526055</v>
      </c>
      <c r="E10">
        <f>VLOOKUP($A10,Table1[#All],MATCH(E$8,Table1[#Headers],0),FALSE)</f>
        <v>103.0500268</v>
      </c>
      <c r="F10">
        <f>VLOOKUP($A10,Table1[#All],MATCH(F$8,Table1[#Headers],0),FALSE)</f>
        <v>103.64763720000001</v>
      </c>
      <c r="G10">
        <f>VLOOKUP($A10,Table1[#All],MATCH(G$8,Table1[#Headers],0),FALSE)</f>
        <v>101.7506685</v>
      </c>
      <c r="H10" s="3">
        <f t="shared" ref="H10:H25" si="0">AVERAGE(D10:G10)</f>
        <v>103.3002345</v>
      </c>
    </row>
    <row r="11" spans="1:8" x14ac:dyDescent="0.25">
      <c r="A11" t="s">
        <v>433</v>
      </c>
      <c r="B11" t="s">
        <v>464</v>
      </c>
      <c r="C11" s="3">
        <f>VLOOKUP($A11,Table1[#All],MATCH(C$8,Table1[#Headers],0),FALSE)</f>
        <v>-318.9004051</v>
      </c>
      <c r="D11">
        <f>VLOOKUP($A11,Table1[#All],MATCH(D$8,Table1[#Headers],0),FALSE)</f>
        <v>-289.96045500000002</v>
      </c>
      <c r="E11">
        <f>VLOOKUP($A11,Table1[#All],MATCH(E$8,Table1[#Headers],0),FALSE)</f>
        <v>-288.83993550000002</v>
      </c>
      <c r="F11">
        <f>VLOOKUP($A11,Table1[#All],MATCH(F$8,Table1[#Headers],0),FALSE)</f>
        <v>-292.81632180000003</v>
      </c>
      <c r="G11">
        <f>VLOOKUP($A11,Table1[#All],MATCH(G$8,Table1[#Headers],0),FALSE)</f>
        <v>-283.14736319999997</v>
      </c>
      <c r="H11" s="3">
        <f t="shared" si="0"/>
        <v>-288.691018875</v>
      </c>
    </row>
    <row r="12" spans="1:8" x14ac:dyDescent="0.25">
      <c r="A12" t="s">
        <v>435</v>
      </c>
      <c r="B12" t="s">
        <v>465</v>
      </c>
      <c r="C12" s="3">
        <f>VLOOKUP($A12,Table1[#All],MATCH(C$8,Table1[#Headers],0),FALSE)</f>
        <v>0</v>
      </c>
      <c r="D12">
        <f>VLOOKUP($A12,Table1[#All],MATCH(D$8,Table1[#Headers],0),FALSE)</f>
        <v>0</v>
      </c>
      <c r="E12">
        <f>VLOOKUP($A12,Table1[#All],MATCH(E$8,Table1[#Headers],0),FALSE)</f>
        <v>0</v>
      </c>
      <c r="F12">
        <f>VLOOKUP($A12,Table1[#All],MATCH(F$8,Table1[#Headers],0),FALSE)</f>
        <v>0</v>
      </c>
      <c r="G12">
        <f>VLOOKUP($A12,Table1[#All],MATCH(G$8,Table1[#Headers],0),FALSE)</f>
        <v>0</v>
      </c>
      <c r="H12" s="3">
        <f t="shared" si="0"/>
        <v>0</v>
      </c>
    </row>
    <row r="13" spans="1:8" x14ac:dyDescent="0.25">
      <c r="A13" t="s">
        <v>437</v>
      </c>
      <c r="B13" t="s">
        <v>466</v>
      </c>
      <c r="C13" s="3">
        <f>VLOOKUP($A13,Table1[#All],MATCH(C$8,Table1[#Headers],0),FALSE)</f>
        <v>0</v>
      </c>
      <c r="D13">
        <f>VLOOKUP($A13,Table1[#All],MATCH(D$8,Table1[#Headers],0),FALSE)</f>
        <v>0</v>
      </c>
      <c r="E13">
        <f>VLOOKUP($A13,Table1[#All],MATCH(E$8,Table1[#Headers],0),FALSE)</f>
        <v>0</v>
      </c>
      <c r="F13">
        <f>VLOOKUP($A13,Table1[#All],MATCH(F$8,Table1[#Headers],0),FALSE)</f>
        <v>0</v>
      </c>
      <c r="G13">
        <f>VLOOKUP($A13,Table1[#All],MATCH(G$8,Table1[#Headers],0),FALSE)</f>
        <v>0</v>
      </c>
      <c r="H13" s="3">
        <f t="shared" si="0"/>
        <v>0</v>
      </c>
    </row>
    <row r="14" spans="1:8" x14ac:dyDescent="0.25">
      <c r="A14" t="s">
        <v>439</v>
      </c>
      <c r="B14" t="s">
        <v>467</v>
      </c>
      <c r="C14" s="3">
        <f>VLOOKUP($A14,Table1[#All],MATCH(C$8,Table1[#Headers],0),FALSE)</f>
        <v>68.254494500000007</v>
      </c>
      <c r="D14">
        <f>VLOOKUP($A14,Table1[#All],MATCH(D$8,Table1[#Headers],0),FALSE)</f>
        <v>73.376393300000004</v>
      </c>
      <c r="E14">
        <f>VLOOKUP($A14,Table1[#All],MATCH(E$8,Table1[#Headers],0),FALSE)</f>
        <v>73.257260000000002</v>
      </c>
      <c r="F14">
        <f>VLOOKUP($A14,Table1[#All],MATCH(F$8,Table1[#Headers],0),FALSE)</f>
        <v>73.435265700000002</v>
      </c>
      <c r="G14">
        <f>VLOOKUP($A14,Table1[#All],MATCH(G$8,Table1[#Headers],0),FALSE)</f>
        <v>73.339459199999993</v>
      </c>
      <c r="H14" s="3">
        <f t="shared" si="0"/>
        <v>73.352094550000004</v>
      </c>
    </row>
    <row r="15" spans="1:8" x14ac:dyDescent="0.25">
      <c r="A15" t="s">
        <v>441</v>
      </c>
      <c r="B15" t="s">
        <v>468</v>
      </c>
      <c r="C15" s="3">
        <f>VLOOKUP($A15,Table1[#All],MATCH(C$8,Table1[#Headers],0),FALSE)</f>
        <v>89.347753400000002</v>
      </c>
      <c r="D15">
        <f>VLOOKUP($A15,Table1[#All],MATCH(D$8,Table1[#Headers],0),FALSE)</f>
        <v>113.8339509</v>
      </c>
      <c r="E15">
        <f>VLOOKUP($A15,Table1[#All],MATCH(E$8,Table1[#Headers],0),FALSE)</f>
        <v>113.8339509</v>
      </c>
      <c r="F15">
        <f>VLOOKUP($A15,Table1[#All],MATCH(F$8,Table1[#Headers],0),FALSE)</f>
        <v>113.8339509</v>
      </c>
      <c r="G15">
        <f>VLOOKUP($A15,Table1[#All],MATCH(G$8,Table1[#Headers],0),FALSE)</f>
        <v>113.8339509</v>
      </c>
      <c r="H15" s="3">
        <f t="shared" si="0"/>
        <v>113.8339509</v>
      </c>
    </row>
    <row r="16" spans="1:8" x14ac:dyDescent="0.25">
      <c r="A16" t="s">
        <v>443</v>
      </c>
      <c r="B16" t="s">
        <v>469</v>
      </c>
      <c r="C16" s="3">
        <f>VLOOKUP($A16,Table1[#All],MATCH(C$8,Table1[#Headers],0),FALSE)</f>
        <v>149.82276010000001</v>
      </c>
      <c r="D16">
        <f>VLOOKUP($A16,Table1[#All],MATCH(D$8,Table1[#Headers],0),FALSE)</f>
        <v>148.34622920000001</v>
      </c>
      <c r="E16">
        <f>VLOOKUP($A16,Table1[#All],MATCH(E$8,Table1[#Headers],0),FALSE)</f>
        <v>148.34622920000001</v>
      </c>
      <c r="F16">
        <f>VLOOKUP($A16,Table1[#All],MATCH(F$8,Table1[#Headers],0),FALSE)</f>
        <v>148.34622920000001</v>
      </c>
      <c r="G16">
        <f>VLOOKUP($A16,Table1[#All],MATCH(G$8,Table1[#Headers],0),FALSE)</f>
        <v>148.34622920000001</v>
      </c>
      <c r="H16" s="3">
        <f t="shared" si="0"/>
        <v>148.34622920000001</v>
      </c>
    </row>
    <row r="17" spans="1:8" x14ac:dyDescent="0.25">
      <c r="A17" t="s">
        <v>445</v>
      </c>
      <c r="B17" t="s">
        <v>470</v>
      </c>
      <c r="C17" s="3">
        <f>VLOOKUP($A17,Table1[#All],MATCH(C$8,Table1[#Headers],0),FALSE)</f>
        <v>242.4840299</v>
      </c>
      <c r="D17">
        <f>VLOOKUP($A17,Table1[#All],MATCH(D$8,Table1[#Headers],0),FALSE)</f>
        <v>149.1973797</v>
      </c>
      <c r="E17">
        <f>VLOOKUP($A17,Table1[#All],MATCH(E$8,Table1[#Headers],0),FALSE)</f>
        <v>148.47896979999999</v>
      </c>
      <c r="F17">
        <f>VLOOKUP($A17,Table1[#All],MATCH(F$8,Table1[#Headers],0),FALSE)</f>
        <v>151.7613838</v>
      </c>
      <c r="G17">
        <f>VLOOKUP($A17,Table1[#All],MATCH(G$8,Table1[#Headers],0),FALSE)</f>
        <v>146.9352355</v>
      </c>
      <c r="H17" s="3">
        <f t="shared" si="0"/>
        <v>149.09324219999999</v>
      </c>
    </row>
    <row r="18" spans="1:8" x14ac:dyDescent="0.25">
      <c r="A18" t="s">
        <v>447</v>
      </c>
      <c r="B18" t="s">
        <v>471</v>
      </c>
      <c r="C18" s="3">
        <f>VLOOKUP($A18,Table1[#All],MATCH(C$8,Table1[#Headers],0),FALSE)</f>
        <v>0</v>
      </c>
      <c r="D18">
        <f>VLOOKUP($A18,Table1[#All],MATCH(D$8,Table1[#Headers],0),FALSE)</f>
        <v>0</v>
      </c>
      <c r="E18">
        <f>VLOOKUP($A18,Table1[#All],MATCH(E$8,Table1[#Headers],0),FALSE)</f>
        <v>0</v>
      </c>
      <c r="F18">
        <f>VLOOKUP($A18,Table1[#All],MATCH(F$8,Table1[#Headers],0),FALSE)</f>
        <v>0</v>
      </c>
      <c r="G18">
        <f>VLOOKUP($A18,Table1[#All],MATCH(G$8,Table1[#Headers],0),FALSE)</f>
        <v>0</v>
      </c>
      <c r="H18" s="3">
        <f t="shared" si="0"/>
        <v>0</v>
      </c>
    </row>
    <row r="19" spans="1:8" x14ac:dyDescent="0.25">
      <c r="A19" t="s">
        <v>449</v>
      </c>
      <c r="B19" t="s">
        <v>472</v>
      </c>
      <c r="C19" s="3">
        <f>VLOOKUP($A19,Table1[#All],MATCH(C$8,Table1[#Headers],0),FALSE)</f>
        <v>0.66925699999999999</v>
      </c>
      <c r="D19">
        <f>VLOOKUP($A19,Table1[#All],MATCH(D$8,Table1[#Headers],0),FALSE)</f>
        <v>1.3193527</v>
      </c>
      <c r="E19">
        <f>VLOOKUP($A19,Table1[#All],MATCH(E$8,Table1[#Headers],0),FALSE)</f>
        <v>1.3310161</v>
      </c>
      <c r="F19">
        <f>VLOOKUP($A19,Table1[#All],MATCH(F$8,Table1[#Headers],0),FALSE)</f>
        <v>1.3251843999999999</v>
      </c>
      <c r="G19">
        <f>VLOOKUP($A19,Table1[#All],MATCH(G$8,Table1[#Headers],0),FALSE)</f>
        <v>1.3293499</v>
      </c>
      <c r="H19" s="3">
        <f t="shared" si="0"/>
        <v>1.3262257749999999</v>
      </c>
    </row>
    <row r="20" spans="1:8" x14ac:dyDescent="0.25">
      <c r="A20" t="s">
        <v>451</v>
      </c>
      <c r="B20" t="s">
        <v>473</v>
      </c>
      <c r="C20" s="3">
        <f>VLOOKUP($A20,Table1[#All],MATCH(C$8,Table1[#Headers],0),FALSE)</f>
        <v>31.130725399999999</v>
      </c>
      <c r="D20">
        <f>VLOOKUP($A20,Table1[#All],MATCH(D$8,Table1[#Headers],0),FALSE)</f>
        <v>18.4656615</v>
      </c>
      <c r="E20">
        <f>VLOOKUP($A20,Table1[#All],MATCH(E$8,Table1[#Headers],0),FALSE)</f>
        <v>20.587289500000001</v>
      </c>
      <c r="F20">
        <f>VLOOKUP($A20,Table1[#All],MATCH(F$8,Table1[#Headers],0),FALSE)</f>
        <v>20.933026000000002</v>
      </c>
      <c r="G20">
        <f>VLOOKUP($A20,Table1[#All],MATCH(G$8,Table1[#Headers],0),FALSE)</f>
        <v>17.7678014</v>
      </c>
      <c r="H20" s="3">
        <f t="shared" si="0"/>
        <v>19.4384446</v>
      </c>
    </row>
    <row r="21" spans="1:8" x14ac:dyDescent="0.25">
      <c r="A21" t="s">
        <v>453</v>
      </c>
      <c r="B21" t="s">
        <v>474</v>
      </c>
      <c r="C21" s="3">
        <f>VLOOKUP($A21,Table1[#All],MATCH(C$8,Table1[#Headers],0),FALSE)</f>
        <v>0</v>
      </c>
      <c r="D21">
        <f>VLOOKUP($A21,Table1[#All],MATCH(D$8,Table1[#Headers],0),FALSE)</f>
        <v>0</v>
      </c>
      <c r="E21">
        <f>VLOOKUP($A21,Table1[#All],MATCH(E$8,Table1[#Headers],0),FALSE)</f>
        <v>0</v>
      </c>
      <c r="F21">
        <f>VLOOKUP($A21,Table1[#All],MATCH(F$8,Table1[#Headers],0),FALSE)</f>
        <v>0</v>
      </c>
      <c r="G21">
        <f>VLOOKUP($A21,Table1[#All],MATCH(G$8,Table1[#Headers],0),FALSE)</f>
        <v>0</v>
      </c>
      <c r="H21" s="3">
        <f t="shared" si="0"/>
        <v>0</v>
      </c>
    </row>
    <row r="22" spans="1:8" x14ac:dyDescent="0.25">
      <c r="A22" t="s">
        <v>455</v>
      </c>
      <c r="B22" t="s">
        <v>475</v>
      </c>
      <c r="C22" s="3">
        <f>VLOOKUP($A22,Table1[#All],MATCH(C$8,Table1[#Headers],0),FALSE)</f>
        <v>-146.3215185</v>
      </c>
      <c r="D22">
        <f>VLOOKUP($A22,Table1[#All],MATCH(D$8,Table1[#Headers],0),FALSE)</f>
        <v>-166.46171100000001</v>
      </c>
      <c r="E22">
        <f>VLOOKUP($A22,Table1[#All],MATCH(E$8,Table1[#Headers],0),FALSE)</f>
        <v>-165.6419406</v>
      </c>
      <c r="F22">
        <f>VLOOKUP($A22,Table1[#All],MATCH(F$8,Table1[#Headers],0),FALSE)</f>
        <v>-165.53363759999999</v>
      </c>
      <c r="G22">
        <f>VLOOKUP($A22,Table1[#All],MATCH(G$8,Table1[#Headers],0),FALSE)</f>
        <v>-167.2109456</v>
      </c>
      <c r="H22" s="3">
        <f t="shared" si="0"/>
        <v>-166.2120587</v>
      </c>
    </row>
    <row r="23" spans="1:8" x14ac:dyDescent="0.25">
      <c r="A23" t="s">
        <v>457</v>
      </c>
      <c r="B23" t="s">
        <v>476</v>
      </c>
      <c r="C23" s="3">
        <f>VLOOKUP($A23,Table1[#All],MATCH(C$8,Table1[#Headers],0),FALSE)</f>
        <v>0</v>
      </c>
      <c r="D23">
        <f>VLOOKUP($A23,Table1[#All],MATCH(D$8,Table1[#Headers],0),FALSE)</f>
        <v>0</v>
      </c>
      <c r="E23">
        <f>VLOOKUP($A23,Table1[#All],MATCH(E$8,Table1[#Headers],0),FALSE)</f>
        <v>0</v>
      </c>
      <c r="F23">
        <f>VLOOKUP($A23,Table1[#All],MATCH(F$8,Table1[#Headers],0),FALSE)</f>
        <v>0</v>
      </c>
      <c r="G23">
        <f>VLOOKUP($A23,Table1[#All],MATCH(G$8,Table1[#Headers],0),FALSE)</f>
        <v>0</v>
      </c>
      <c r="H23" s="3">
        <f t="shared" si="0"/>
        <v>0</v>
      </c>
    </row>
    <row r="24" spans="1:8" x14ac:dyDescent="0.25">
      <c r="A24" t="s">
        <v>459</v>
      </c>
      <c r="B24" t="s">
        <v>477</v>
      </c>
      <c r="C24" s="3">
        <f>VLOOKUP($A24,Table1[#All],MATCH(C$8,Table1[#Headers],0),FALSE)</f>
        <v>-52.765777</v>
      </c>
      <c r="D24">
        <f>VLOOKUP($A24,Table1[#All],MATCH(D$8,Table1[#Headers],0),FALSE)</f>
        <v>-43.212341600000002</v>
      </c>
      <c r="E24">
        <f>VLOOKUP($A24,Table1[#All],MATCH(E$8,Table1[#Headers],0),FALSE)</f>
        <v>-43.136251799999997</v>
      </c>
      <c r="F24">
        <f>VLOOKUP($A24,Table1[#All],MATCH(F$8,Table1[#Headers],0),FALSE)</f>
        <v>-43.151803000000001</v>
      </c>
      <c r="G24">
        <f>VLOOKUP($A24,Table1[#All],MATCH(G$8,Table1[#Headers],0),FALSE)</f>
        <v>-43.326198599999998</v>
      </c>
      <c r="H24" s="3">
        <f t="shared" si="0"/>
        <v>-43.206648749999999</v>
      </c>
    </row>
    <row r="25" spans="1:8" x14ac:dyDescent="0.25">
      <c r="A25" t="s">
        <v>461</v>
      </c>
      <c r="B25" t="s">
        <v>466</v>
      </c>
      <c r="C25" s="3">
        <f>VLOOKUP($A25,Table1[#All],MATCH(C$8,Table1[#Headers],0),FALSE)</f>
        <v>-95.957291100000006</v>
      </c>
      <c r="D25">
        <f>VLOOKUP($A25,Table1[#All],MATCH(D$8,Table1[#Headers],0),FALSE)</f>
        <v>-109.6576206</v>
      </c>
      <c r="E25">
        <f>VLOOKUP($A25,Table1[#All],MATCH(E$8,Table1[#Headers],0),FALSE)</f>
        <v>-111.2682806</v>
      </c>
      <c r="F25">
        <f>VLOOKUP($A25,Table1[#All],MATCH(F$8,Table1[#Headers],0),FALSE)</f>
        <v>-111.78285870000001</v>
      </c>
      <c r="G25">
        <f>VLOOKUP($A25,Table1[#All],MATCH(G$8,Table1[#Headers],0),FALSE)</f>
        <v>-109.61846490000001</v>
      </c>
      <c r="H25" s="3">
        <f t="shared" si="0"/>
        <v>-110.5818062</v>
      </c>
    </row>
    <row r="26" spans="1:8" x14ac:dyDescent="0.25">
      <c r="C26" s="3"/>
      <c r="H26" s="3"/>
    </row>
    <row r="27" spans="1:8" x14ac:dyDescent="0.25">
      <c r="H27" s="3"/>
    </row>
    <row r="28" spans="1:8" x14ac:dyDescent="0.25">
      <c r="H28" s="3"/>
    </row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:I19"/>
  <sheetViews>
    <sheetView workbookViewId="0">
      <selection activeCell="H37" sqref="H37"/>
    </sheetView>
  </sheetViews>
  <sheetFormatPr defaultColWidth="9.140625" defaultRowHeight="15" x14ac:dyDescent="0.25"/>
  <cols>
    <col min="5" max="5" width="11.5703125" bestFit="1" customWidth="1"/>
  </cols>
  <sheetData>
    <row r="12" spans="5:7" x14ac:dyDescent="0.25">
      <c r="F12" t="s">
        <v>401</v>
      </c>
      <c r="G12" t="s">
        <v>400</v>
      </c>
    </row>
    <row r="13" spans="5:7" x14ac:dyDescent="0.25">
      <c r="E13" s="9" t="s">
        <v>399</v>
      </c>
      <c r="F13" t="s">
        <v>8</v>
      </c>
      <c r="G13" s="3">
        <f>MATCH(F13,Table1[#Headers],0)</f>
        <v>5</v>
      </c>
    </row>
    <row r="18" spans="6:9" x14ac:dyDescent="0.25">
      <c r="F18" t="s">
        <v>402</v>
      </c>
    </row>
    <row r="19" spans="6:9" x14ac:dyDescent="0.25">
      <c r="I19" t="e">
        <f>VLOOKUP($I10,Table1[#All],MATCH(J$8,Table1[#Headers],0),FALSE)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DATABASE</vt:lpstr>
      <vt:lpstr>Fuel</vt:lpstr>
      <vt:lpstr>Final LEED table</vt:lpstr>
      <vt:lpstr>Overview</vt:lpstr>
      <vt:lpstr>Sensible breakdown</vt:lpstr>
      <vt:lpstr>&lt;Testing&gt;</vt:lpstr>
      <vt:lpstr>Sensible</vt:lpstr>
      <vt:lpstr>'Sensible breakdown'!dataTable</vt:lpstr>
      <vt:lpstr>dataTable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2013-07-08T11:04:44Z</dcterms:created>
  <dcterms:modified xsi:type="dcterms:W3CDTF">2013-12-16T20:19:16Z</dcterms:modified>
</cp:coreProperties>
</file>