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\Documents\UnB\CFQ\"/>
    </mc:Choice>
  </mc:AlternateContent>
  <xr:revisionPtr revIDLastSave="0" documentId="8_{8BA931F6-FA97-4771-A8FD-1B0F0B0176B9}" xr6:coauthVersionLast="47" xr6:coauthVersionMax="47" xr10:uidLastSave="{00000000-0000-0000-0000-000000000000}"/>
  <bookViews>
    <workbookView xWindow="-108" yWindow="-108" windowWidth="23256" windowHeight="12456" xr2:uid="{C09E7E42-3011-42CD-8BC2-E47D56EE8355}"/>
  </bookViews>
  <sheets>
    <sheet name="Ouvidoria em Números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8" i="1" l="1"/>
  <c r="AF18" i="1"/>
  <c r="AE18" i="1"/>
  <c r="AD18" i="1"/>
  <c r="AC18" i="1"/>
  <c r="AA18" i="1"/>
  <c r="AG18" i="1" s="1"/>
  <c r="Z18" i="1"/>
  <c r="CD17" i="1"/>
  <c r="BT17" i="1"/>
  <c r="BK17" i="1"/>
  <c r="BC17" i="1"/>
  <c r="AT17" i="1"/>
  <c r="AL17" i="1"/>
  <c r="AH17" i="1"/>
  <c r="AF17" i="1"/>
  <c r="AE17" i="1"/>
  <c r="AD17" i="1"/>
  <c r="AC17" i="1"/>
  <c r="AA17" i="1"/>
  <c r="AG17" i="1" s="1"/>
  <c r="Z17" i="1"/>
  <c r="S17" i="1"/>
  <c r="J17" i="1"/>
  <c r="B17" i="1"/>
  <c r="CJ16" i="1"/>
  <c r="CI16" i="1"/>
  <c r="CH16" i="1"/>
  <c r="CG16" i="1"/>
  <c r="CF16" i="1"/>
  <c r="CE16" i="1"/>
  <c r="CD16" i="1"/>
  <c r="CA16" i="1"/>
  <c r="BZ16" i="1"/>
  <c r="BY16" i="1"/>
  <c r="BX16" i="1"/>
  <c r="BW16" i="1"/>
  <c r="BV16" i="1"/>
  <c r="BU16" i="1"/>
  <c r="BT16" i="1"/>
  <c r="BS16" i="1"/>
  <c r="BR16" i="1"/>
  <c r="BL16" i="1"/>
  <c r="BK16" i="1"/>
  <c r="BJ16" i="1"/>
  <c r="BO16" i="1" s="1"/>
  <c r="BI16" i="1"/>
  <c r="BM16" i="1" s="1"/>
  <c r="BH16" i="1"/>
  <c r="BG16" i="1"/>
  <c r="BF16" i="1"/>
  <c r="BE16" i="1"/>
  <c r="BD16" i="1"/>
  <c r="BC16" i="1"/>
  <c r="BB16" i="1"/>
  <c r="BA16" i="1"/>
  <c r="AU16" i="1"/>
  <c r="AT16" i="1"/>
  <c r="AS16" i="1"/>
  <c r="AX16" i="1" s="1"/>
  <c r="AR16" i="1"/>
  <c r="AV16" i="1" s="1"/>
  <c r="AQ16" i="1"/>
  <c r="AP16" i="1"/>
  <c r="AO16" i="1"/>
  <c r="AN16" i="1"/>
  <c r="AM16" i="1"/>
  <c r="AL16" i="1"/>
  <c r="AK16" i="1"/>
  <c r="AJ16" i="1"/>
  <c r="AH16" i="1"/>
  <c r="AF16" i="1"/>
  <c r="AE16" i="1"/>
  <c r="AD16" i="1"/>
  <c r="AC16" i="1"/>
  <c r="AA16" i="1"/>
  <c r="AG16" i="1" s="1"/>
  <c r="Z16" i="1"/>
  <c r="X16" i="1"/>
  <c r="W16" i="1"/>
  <c r="V16" i="1"/>
  <c r="U16" i="1"/>
  <c r="T16" i="1"/>
  <c r="S16" i="1"/>
  <c r="R16" i="1"/>
  <c r="Q16" i="1"/>
  <c r="P16" i="1"/>
  <c r="O16" i="1"/>
  <c r="K16" i="1"/>
  <c r="I16" i="1"/>
  <c r="M16" i="1" s="1"/>
  <c r="G16" i="1"/>
  <c r="F16" i="1"/>
  <c r="L16" i="1" s="1"/>
  <c r="E16" i="1"/>
  <c r="D16" i="1"/>
  <c r="C16" i="1"/>
  <c r="B16" i="1"/>
  <c r="J16" i="1" s="1"/>
  <c r="CJ15" i="1"/>
  <c r="CI15" i="1"/>
  <c r="CH15" i="1"/>
  <c r="CG15" i="1"/>
  <c r="CF15" i="1"/>
  <c r="CE15" i="1"/>
  <c r="CD15" i="1"/>
  <c r="CA15" i="1"/>
  <c r="BZ15" i="1"/>
  <c r="BY15" i="1"/>
  <c r="BX15" i="1"/>
  <c r="BW15" i="1"/>
  <c r="BV15" i="1"/>
  <c r="BU15" i="1"/>
  <c r="BT15" i="1"/>
  <c r="BS15" i="1"/>
  <c r="BR15" i="1"/>
  <c r="BL15" i="1"/>
  <c r="BK15" i="1"/>
  <c r="BJ15" i="1"/>
  <c r="BO15" i="1" s="1"/>
  <c r="BI15" i="1"/>
  <c r="BM15" i="1" s="1"/>
  <c r="BH15" i="1"/>
  <c r="BG15" i="1"/>
  <c r="BF15" i="1"/>
  <c r="BE15" i="1"/>
  <c r="BD15" i="1"/>
  <c r="BC15" i="1"/>
  <c r="BB15" i="1"/>
  <c r="BA15" i="1"/>
  <c r="AU15" i="1"/>
  <c r="AT15" i="1"/>
  <c r="AS15" i="1"/>
  <c r="AX15" i="1" s="1"/>
  <c r="AR15" i="1"/>
  <c r="AV15" i="1" s="1"/>
  <c r="AQ15" i="1"/>
  <c r="AP15" i="1"/>
  <c r="AO15" i="1"/>
  <c r="AN15" i="1"/>
  <c r="AM15" i="1"/>
  <c r="AL15" i="1"/>
  <c r="AK15" i="1"/>
  <c r="AJ15" i="1"/>
  <c r="AH15" i="1"/>
  <c r="AF15" i="1"/>
  <c r="AE15" i="1"/>
  <c r="AD15" i="1"/>
  <c r="AC15" i="1"/>
  <c r="AA15" i="1"/>
  <c r="AG15" i="1" s="1"/>
  <c r="Z15" i="1"/>
  <c r="X15" i="1"/>
  <c r="W15" i="1"/>
  <c r="V15" i="1"/>
  <c r="U15" i="1"/>
  <c r="T15" i="1"/>
  <c r="S15" i="1"/>
  <c r="R15" i="1"/>
  <c r="Q15" i="1"/>
  <c r="P15" i="1"/>
  <c r="O15" i="1"/>
  <c r="K15" i="1"/>
  <c r="I15" i="1"/>
  <c r="M15" i="1" s="1"/>
  <c r="H15" i="1"/>
  <c r="G15" i="1"/>
  <c r="F15" i="1"/>
  <c r="L15" i="1" s="1"/>
  <c r="E15" i="1"/>
  <c r="D15" i="1"/>
  <c r="C15" i="1"/>
  <c r="B15" i="1"/>
  <c r="J15" i="1" s="1"/>
  <c r="CJ14" i="1"/>
  <c r="CJ17" i="1" s="1"/>
  <c r="CI14" i="1"/>
  <c r="CI17" i="1" s="1"/>
  <c r="CH14" i="1"/>
  <c r="CH17" i="1" s="1"/>
  <c r="CG14" i="1"/>
  <c r="CG17" i="1" s="1"/>
  <c r="CF14" i="1"/>
  <c r="CF17" i="1" s="1"/>
  <c r="CE14" i="1"/>
  <c r="CE17" i="1" s="1"/>
  <c r="CD14" i="1"/>
  <c r="CA14" i="1"/>
  <c r="CA17" i="1" s="1"/>
  <c r="BZ14" i="1"/>
  <c r="BZ17" i="1" s="1"/>
  <c r="BY14" i="1"/>
  <c r="BY17" i="1" s="1"/>
  <c r="BX14" i="1"/>
  <c r="BX17" i="1" s="1"/>
  <c r="BW14" i="1"/>
  <c r="BW17" i="1" s="1"/>
  <c r="BV14" i="1"/>
  <c r="BV17" i="1" s="1"/>
  <c r="BU14" i="1"/>
  <c r="BU17" i="1" s="1"/>
  <c r="BT14" i="1"/>
  <c r="BS14" i="1"/>
  <c r="BS17" i="1" s="1"/>
  <c r="BR14" i="1"/>
  <c r="BR17" i="1" s="1"/>
  <c r="BL14" i="1"/>
  <c r="BL17" i="1" s="1"/>
  <c r="BK14" i="1"/>
  <c r="BJ14" i="1"/>
  <c r="BJ17" i="1" s="1"/>
  <c r="BO17" i="1" s="1"/>
  <c r="BI14" i="1"/>
  <c r="BM14" i="1" s="1"/>
  <c r="BH14" i="1"/>
  <c r="BH17" i="1" s="1"/>
  <c r="BG14" i="1"/>
  <c r="BG17" i="1" s="1"/>
  <c r="BF14" i="1"/>
  <c r="BF17" i="1" s="1"/>
  <c r="BE14" i="1"/>
  <c r="BE17" i="1" s="1"/>
  <c r="BD14" i="1"/>
  <c r="BD17" i="1" s="1"/>
  <c r="BC14" i="1"/>
  <c r="BB14" i="1"/>
  <c r="BB17" i="1" s="1"/>
  <c r="BA14" i="1"/>
  <c r="BA17" i="1" s="1"/>
  <c r="AU14" i="1"/>
  <c r="AU17" i="1" s="1"/>
  <c r="AT14" i="1"/>
  <c r="AS14" i="1"/>
  <c r="AS17" i="1" s="1"/>
  <c r="AX17" i="1" s="1"/>
  <c r="AR14" i="1"/>
  <c r="AV14" i="1" s="1"/>
  <c r="AQ14" i="1"/>
  <c r="AQ17" i="1" s="1"/>
  <c r="AP14" i="1"/>
  <c r="AP17" i="1" s="1"/>
  <c r="AO14" i="1"/>
  <c r="AO17" i="1" s="1"/>
  <c r="AN14" i="1"/>
  <c r="AN17" i="1" s="1"/>
  <c r="AM14" i="1"/>
  <c r="AM17" i="1" s="1"/>
  <c r="AL14" i="1"/>
  <c r="AK14" i="1"/>
  <c r="AK17" i="1" s="1"/>
  <c r="AJ14" i="1"/>
  <c r="AJ17" i="1" s="1"/>
  <c r="AH14" i="1"/>
  <c r="AF14" i="1"/>
  <c r="AE14" i="1"/>
  <c r="AD14" i="1"/>
  <c r="AC14" i="1"/>
  <c r="AA14" i="1"/>
  <c r="AG14" i="1" s="1"/>
  <c r="Z14" i="1"/>
  <c r="X14" i="1"/>
  <c r="X17" i="1" s="1"/>
  <c r="W14" i="1"/>
  <c r="W17" i="1" s="1"/>
  <c r="V14" i="1"/>
  <c r="V17" i="1" s="1"/>
  <c r="U14" i="1"/>
  <c r="U17" i="1" s="1"/>
  <c r="T14" i="1"/>
  <c r="T17" i="1" s="1"/>
  <c r="S14" i="1"/>
  <c r="R14" i="1"/>
  <c r="R17" i="1" s="1"/>
  <c r="Q14" i="1"/>
  <c r="Q17" i="1" s="1"/>
  <c r="P14" i="1"/>
  <c r="P17" i="1" s="1"/>
  <c r="O14" i="1"/>
  <c r="O17" i="1" s="1"/>
  <c r="L14" i="1"/>
  <c r="H14" i="1"/>
  <c r="G14" i="1"/>
  <c r="G17" i="1" s="1"/>
  <c r="F14" i="1"/>
  <c r="F17" i="1" s="1"/>
  <c r="E14" i="1"/>
  <c r="E17" i="1" s="1"/>
  <c r="D14" i="1"/>
  <c r="K14" i="1" s="1"/>
  <c r="C14" i="1"/>
  <c r="C17" i="1" s="1"/>
  <c r="B14" i="1"/>
  <c r="J14" i="1" s="1"/>
  <c r="CH13" i="1"/>
  <c r="BX13" i="1"/>
  <c r="BG13" i="1"/>
  <c r="AP13" i="1"/>
  <c r="AH13" i="1"/>
  <c r="AG13" i="1"/>
  <c r="AF13" i="1"/>
  <c r="AE13" i="1"/>
  <c r="AD13" i="1"/>
  <c r="AC13" i="1"/>
  <c r="AA13" i="1"/>
  <c r="Z13" i="1"/>
  <c r="W13" i="1"/>
  <c r="O13" i="1"/>
  <c r="F13" i="1"/>
  <c r="CJ12" i="1"/>
  <c r="CI12" i="1"/>
  <c r="CH12" i="1"/>
  <c r="CG12" i="1"/>
  <c r="CF12" i="1"/>
  <c r="CE12" i="1"/>
  <c r="CD12" i="1"/>
  <c r="CA12" i="1"/>
  <c r="BZ12" i="1"/>
  <c r="BY12" i="1"/>
  <c r="BX12" i="1"/>
  <c r="BW12" i="1"/>
  <c r="BV12" i="1"/>
  <c r="BU12" i="1"/>
  <c r="BT12" i="1"/>
  <c r="BS12" i="1"/>
  <c r="BR12" i="1"/>
  <c r="BO12" i="1"/>
  <c r="BL12" i="1"/>
  <c r="BK12" i="1"/>
  <c r="BJ12" i="1"/>
  <c r="BI12" i="1"/>
  <c r="BM12" i="1" s="1"/>
  <c r="BH12" i="1"/>
  <c r="BG12" i="1"/>
  <c r="BF12" i="1"/>
  <c r="BE12" i="1"/>
  <c r="BD12" i="1"/>
  <c r="BC12" i="1"/>
  <c r="BB12" i="1"/>
  <c r="BA12" i="1"/>
  <c r="AX12" i="1"/>
  <c r="AU12" i="1"/>
  <c r="AT12" i="1"/>
  <c r="AS12" i="1"/>
  <c r="AR12" i="1"/>
  <c r="AV12" i="1" s="1"/>
  <c r="AQ12" i="1"/>
  <c r="AP12" i="1"/>
  <c r="AO12" i="1"/>
  <c r="AN12" i="1"/>
  <c r="AM12" i="1"/>
  <c r="AL12" i="1"/>
  <c r="AK12" i="1"/>
  <c r="AJ12" i="1"/>
  <c r="AH12" i="1"/>
  <c r="AG12" i="1"/>
  <c r="AF12" i="1"/>
  <c r="AE12" i="1"/>
  <c r="AD12" i="1"/>
  <c r="AC12" i="1"/>
  <c r="AA12" i="1"/>
  <c r="Z12" i="1"/>
  <c r="X12" i="1"/>
  <c r="W12" i="1"/>
  <c r="V12" i="1"/>
  <c r="U12" i="1"/>
  <c r="T12" i="1"/>
  <c r="S12" i="1"/>
  <c r="R12" i="1"/>
  <c r="Q12" i="1"/>
  <c r="P12" i="1"/>
  <c r="O12" i="1"/>
  <c r="G12" i="1"/>
  <c r="F12" i="1"/>
  <c r="L12" i="1" s="1"/>
  <c r="E12" i="1"/>
  <c r="I12" i="1" s="1"/>
  <c r="M12" i="1" s="1"/>
  <c r="D12" i="1"/>
  <c r="K12" i="1" s="1"/>
  <c r="C12" i="1"/>
  <c r="B12" i="1"/>
  <c r="J12" i="1" s="1"/>
  <c r="CJ11" i="1"/>
  <c r="CI11" i="1"/>
  <c r="CH11" i="1"/>
  <c r="CG11" i="1"/>
  <c r="CF11" i="1"/>
  <c r="CE11" i="1"/>
  <c r="CD11" i="1"/>
  <c r="CA11" i="1"/>
  <c r="BZ11" i="1"/>
  <c r="BY11" i="1"/>
  <c r="BX11" i="1"/>
  <c r="BW11" i="1"/>
  <c r="BV11" i="1"/>
  <c r="BU11" i="1"/>
  <c r="BT11" i="1"/>
  <c r="BS11" i="1"/>
  <c r="BR11" i="1"/>
  <c r="BM11" i="1"/>
  <c r="BL11" i="1"/>
  <c r="BK11" i="1"/>
  <c r="BJ11" i="1"/>
  <c r="BO11" i="1" s="1"/>
  <c r="BI11" i="1"/>
  <c r="BH11" i="1"/>
  <c r="BG11" i="1"/>
  <c r="BF11" i="1"/>
  <c r="BE11" i="1"/>
  <c r="BD11" i="1"/>
  <c r="BC11" i="1"/>
  <c r="BB11" i="1"/>
  <c r="BA11" i="1"/>
  <c r="AV11" i="1"/>
  <c r="AY11" i="1" s="1"/>
  <c r="AU11" i="1"/>
  <c r="AT11" i="1"/>
  <c r="AS11" i="1"/>
  <c r="AX11" i="1" s="1"/>
  <c r="AR11" i="1"/>
  <c r="AQ11" i="1"/>
  <c r="AP11" i="1"/>
  <c r="AO11" i="1"/>
  <c r="AN11" i="1"/>
  <c r="AM11" i="1"/>
  <c r="AL11" i="1"/>
  <c r="AK11" i="1"/>
  <c r="AJ11" i="1"/>
  <c r="AH11" i="1"/>
  <c r="AF11" i="1"/>
  <c r="AE11" i="1"/>
  <c r="AD11" i="1"/>
  <c r="AC11" i="1"/>
  <c r="AA11" i="1"/>
  <c r="AG11" i="1" s="1"/>
  <c r="Z11" i="1"/>
  <c r="X11" i="1"/>
  <c r="W11" i="1"/>
  <c r="V11" i="1"/>
  <c r="U11" i="1"/>
  <c r="T11" i="1"/>
  <c r="S11" i="1"/>
  <c r="R11" i="1"/>
  <c r="Q11" i="1"/>
  <c r="P11" i="1"/>
  <c r="O11" i="1"/>
  <c r="L11" i="1"/>
  <c r="G11" i="1"/>
  <c r="F11" i="1"/>
  <c r="E11" i="1"/>
  <c r="I11" i="1" s="1"/>
  <c r="M11" i="1" s="1"/>
  <c r="D11" i="1"/>
  <c r="H11" i="1" s="1"/>
  <c r="C11" i="1"/>
  <c r="B11" i="1"/>
  <c r="J11" i="1" s="1"/>
  <c r="CJ10" i="1"/>
  <c r="CJ13" i="1" s="1"/>
  <c r="CI10" i="1"/>
  <c r="CI13" i="1" s="1"/>
  <c r="CH10" i="1"/>
  <c r="CG10" i="1"/>
  <c r="CG13" i="1" s="1"/>
  <c r="CF10" i="1"/>
  <c r="CF13" i="1" s="1"/>
  <c r="CE10" i="1"/>
  <c r="CE13" i="1" s="1"/>
  <c r="CD10" i="1"/>
  <c r="CD13" i="1" s="1"/>
  <c r="CA10" i="1"/>
  <c r="CA13" i="1" s="1"/>
  <c r="BZ10" i="1"/>
  <c r="BZ13" i="1" s="1"/>
  <c r="BY10" i="1"/>
  <c r="BY13" i="1" s="1"/>
  <c r="BX10" i="1"/>
  <c r="BW10" i="1"/>
  <c r="BW13" i="1" s="1"/>
  <c r="BV10" i="1"/>
  <c r="BV13" i="1" s="1"/>
  <c r="BU10" i="1"/>
  <c r="BU13" i="1" s="1"/>
  <c r="BT10" i="1"/>
  <c r="BT13" i="1" s="1"/>
  <c r="BS10" i="1"/>
  <c r="BS13" i="1" s="1"/>
  <c r="BR10" i="1"/>
  <c r="BR13" i="1" s="1"/>
  <c r="BL10" i="1"/>
  <c r="BL13" i="1" s="1"/>
  <c r="BK10" i="1"/>
  <c r="BK13" i="1" s="1"/>
  <c r="BJ10" i="1"/>
  <c r="BJ13" i="1" s="1"/>
  <c r="BI10" i="1"/>
  <c r="BI13" i="1" s="1"/>
  <c r="BM13" i="1" s="1"/>
  <c r="BH10" i="1"/>
  <c r="BH13" i="1" s="1"/>
  <c r="BG10" i="1"/>
  <c r="BF10" i="1"/>
  <c r="BF13" i="1" s="1"/>
  <c r="BE10" i="1"/>
  <c r="BE13" i="1" s="1"/>
  <c r="BD10" i="1"/>
  <c r="BD13" i="1" s="1"/>
  <c r="BC10" i="1"/>
  <c r="BC13" i="1" s="1"/>
  <c r="BB10" i="1"/>
  <c r="BB13" i="1" s="1"/>
  <c r="BA10" i="1"/>
  <c r="BA13" i="1" s="1"/>
  <c r="AU10" i="1"/>
  <c r="AU13" i="1" s="1"/>
  <c r="AT10" i="1"/>
  <c r="AT13" i="1" s="1"/>
  <c r="AS10" i="1"/>
  <c r="AS13" i="1" s="1"/>
  <c r="AR10" i="1"/>
  <c r="AR13" i="1" s="1"/>
  <c r="AV13" i="1" s="1"/>
  <c r="AQ10" i="1"/>
  <c r="AQ13" i="1" s="1"/>
  <c r="AP10" i="1"/>
  <c r="AO10" i="1"/>
  <c r="AO13" i="1" s="1"/>
  <c r="AN10" i="1"/>
  <c r="AN13" i="1" s="1"/>
  <c r="AM10" i="1"/>
  <c r="AM13" i="1" s="1"/>
  <c r="AL10" i="1"/>
  <c r="AL13" i="1" s="1"/>
  <c r="AK10" i="1"/>
  <c r="AK13" i="1" s="1"/>
  <c r="AJ10" i="1"/>
  <c r="AJ13" i="1" s="1"/>
  <c r="AH10" i="1"/>
  <c r="AF10" i="1"/>
  <c r="AE10" i="1"/>
  <c r="AD10" i="1"/>
  <c r="AC10" i="1"/>
  <c r="AA10" i="1"/>
  <c r="Z10" i="1"/>
  <c r="AG10" i="1" s="1"/>
  <c r="X10" i="1"/>
  <c r="X13" i="1" s="1"/>
  <c r="W10" i="1"/>
  <c r="V10" i="1"/>
  <c r="V13" i="1" s="1"/>
  <c r="U10" i="1"/>
  <c r="U13" i="1" s="1"/>
  <c r="T10" i="1"/>
  <c r="T13" i="1" s="1"/>
  <c r="S10" i="1"/>
  <c r="S13" i="1" s="1"/>
  <c r="R10" i="1"/>
  <c r="R13" i="1" s="1"/>
  <c r="Q10" i="1"/>
  <c r="Q13" i="1" s="1"/>
  <c r="P10" i="1"/>
  <c r="P13" i="1" s="1"/>
  <c r="O10" i="1"/>
  <c r="L10" i="1"/>
  <c r="K10" i="1"/>
  <c r="H10" i="1"/>
  <c r="G10" i="1"/>
  <c r="G13" i="1" s="1"/>
  <c r="F10" i="1"/>
  <c r="L13" i="1" s="1"/>
  <c r="E10" i="1"/>
  <c r="E13" i="1" s="1"/>
  <c r="D10" i="1"/>
  <c r="K13" i="1" s="1"/>
  <c r="C10" i="1"/>
  <c r="C13" i="1" s="1"/>
  <c r="B10" i="1"/>
  <c r="J13" i="1" s="1"/>
  <c r="CE9" i="1"/>
  <c r="CD9" i="1"/>
  <c r="BU9" i="1"/>
  <c r="BT9" i="1"/>
  <c r="BL9" i="1"/>
  <c r="BK9" i="1"/>
  <c r="BD9" i="1"/>
  <c r="BC9" i="1"/>
  <c r="AU9" i="1"/>
  <c r="AT9" i="1"/>
  <c r="AM9" i="1"/>
  <c r="AL9" i="1"/>
  <c r="AH9" i="1"/>
  <c r="AG9" i="1"/>
  <c r="AF9" i="1"/>
  <c r="AE9" i="1"/>
  <c r="AD9" i="1"/>
  <c r="AC9" i="1"/>
  <c r="AA9" i="1"/>
  <c r="Z9" i="1"/>
  <c r="S9" i="1"/>
  <c r="J9" i="1"/>
  <c r="B9" i="1"/>
  <c r="CJ8" i="1"/>
  <c r="CI8" i="1"/>
  <c r="CH8" i="1"/>
  <c r="CG8" i="1"/>
  <c r="CF8" i="1"/>
  <c r="CE8" i="1"/>
  <c r="CD8" i="1"/>
  <c r="CA8" i="1"/>
  <c r="BZ8" i="1"/>
  <c r="BY8" i="1"/>
  <c r="BX8" i="1"/>
  <c r="BW8" i="1"/>
  <c r="BV8" i="1"/>
  <c r="BU8" i="1"/>
  <c r="BT8" i="1"/>
  <c r="BS8" i="1"/>
  <c r="BR8" i="1"/>
  <c r="BL8" i="1"/>
  <c r="BK8" i="1"/>
  <c r="BM8" i="1" s="1"/>
  <c r="BJ8" i="1"/>
  <c r="BO8" i="1" s="1"/>
  <c r="BI8" i="1"/>
  <c r="BH8" i="1"/>
  <c r="BG8" i="1"/>
  <c r="BF8" i="1"/>
  <c r="BE8" i="1"/>
  <c r="BD8" i="1"/>
  <c r="BC8" i="1"/>
  <c r="BB8" i="1"/>
  <c r="BA8" i="1"/>
  <c r="AU8" i="1"/>
  <c r="AT8" i="1"/>
  <c r="AV8" i="1" s="1"/>
  <c r="AS8" i="1"/>
  <c r="AX8" i="1" s="1"/>
  <c r="AR8" i="1"/>
  <c r="AQ8" i="1"/>
  <c r="AP8" i="1"/>
  <c r="AO8" i="1"/>
  <c r="AN8" i="1"/>
  <c r="AM8" i="1"/>
  <c r="AL8" i="1"/>
  <c r="AK8" i="1"/>
  <c r="AJ8" i="1"/>
  <c r="AH8" i="1"/>
  <c r="AF8" i="1"/>
  <c r="AE8" i="1"/>
  <c r="AD8" i="1"/>
  <c r="AC8" i="1"/>
  <c r="AA8" i="1"/>
  <c r="AG8" i="1" s="1"/>
  <c r="Z8" i="1"/>
  <c r="X8" i="1"/>
  <c r="W8" i="1"/>
  <c r="V8" i="1"/>
  <c r="U8" i="1"/>
  <c r="T8" i="1"/>
  <c r="S8" i="1"/>
  <c r="R8" i="1"/>
  <c r="Q8" i="1"/>
  <c r="P8" i="1"/>
  <c r="O8" i="1"/>
  <c r="K8" i="1"/>
  <c r="I8" i="1"/>
  <c r="M8" i="1" s="1"/>
  <c r="G8" i="1"/>
  <c r="F8" i="1"/>
  <c r="L8" i="1" s="1"/>
  <c r="E8" i="1"/>
  <c r="D8" i="1"/>
  <c r="C8" i="1"/>
  <c r="B8" i="1"/>
  <c r="J8" i="1" s="1"/>
  <c r="CJ7" i="1"/>
  <c r="CI7" i="1"/>
  <c r="CH7" i="1"/>
  <c r="CG7" i="1"/>
  <c r="CF7" i="1"/>
  <c r="CE7" i="1"/>
  <c r="CD7" i="1"/>
  <c r="CA7" i="1"/>
  <c r="BZ7" i="1"/>
  <c r="BY7" i="1"/>
  <c r="BX7" i="1"/>
  <c r="BW7" i="1"/>
  <c r="BV7" i="1"/>
  <c r="BU7" i="1"/>
  <c r="BT7" i="1"/>
  <c r="BS7" i="1"/>
  <c r="BR7" i="1"/>
  <c r="BL7" i="1"/>
  <c r="BK7" i="1"/>
  <c r="BJ7" i="1"/>
  <c r="BO7" i="1" s="1"/>
  <c r="BI7" i="1"/>
  <c r="BM7" i="1" s="1"/>
  <c r="BH7" i="1"/>
  <c r="BG7" i="1"/>
  <c r="BF7" i="1"/>
  <c r="BE7" i="1"/>
  <c r="BD7" i="1"/>
  <c r="BC7" i="1"/>
  <c r="BB7" i="1"/>
  <c r="BA7" i="1"/>
  <c r="AU7" i="1"/>
  <c r="AT7" i="1"/>
  <c r="AS7" i="1"/>
  <c r="AX7" i="1" s="1"/>
  <c r="AR7" i="1"/>
  <c r="AV7" i="1" s="1"/>
  <c r="AQ7" i="1"/>
  <c r="AP7" i="1"/>
  <c r="AO7" i="1"/>
  <c r="AN7" i="1"/>
  <c r="AM7" i="1"/>
  <c r="AL7" i="1"/>
  <c r="AK7" i="1"/>
  <c r="AJ7" i="1"/>
  <c r="AH7" i="1"/>
  <c r="AF7" i="1"/>
  <c r="AE7" i="1"/>
  <c r="AD7" i="1"/>
  <c r="AC7" i="1"/>
  <c r="AA7" i="1"/>
  <c r="AG7" i="1" s="1"/>
  <c r="Z7" i="1"/>
  <c r="X7" i="1"/>
  <c r="W7" i="1"/>
  <c r="V7" i="1"/>
  <c r="U7" i="1"/>
  <c r="T7" i="1"/>
  <c r="T9" i="1" s="1"/>
  <c r="S7" i="1"/>
  <c r="R7" i="1"/>
  <c r="Q7" i="1"/>
  <c r="P7" i="1"/>
  <c r="O7" i="1"/>
  <c r="K7" i="1"/>
  <c r="I7" i="1"/>
  <c r="M7" i="1" s="1"/>
  <c r="H7" i="1"/>
  <c r="G7" i="1"/>
  <c r="F7" i="1"/>
  <c r="L7" i="1" s="1"/>
  <c r="E7" i="1"/>
  <c r="D7" i="1"/>
  <c r="C7" i="1"/>
  <c r="B7" i="1"/>
  <c r="J7" i="1" s="1"/>
  <c r="CJ6" i="1"/>
  <c r="CJ9" i="1" s="1"/>
  <c r="CI6" i="1"/>
  <c r="CI9" i="1" s="1"/>
  <c r="CH6" i="1"/>
  <c r="CH9" i="1" s="1"/>
  <c r="CG6" i="1"/>
  <c r="CG9" i="1" s="1"/>
  <c r="CF6" i="1"/>
  <c r="CF9" i="1" s="1"/>
  <c r="CE6" i="1"/>
  <c r="CD6" i="1"/>
  <c r="CA6" i="1"/>
  <c r="CA9" i="1" s="1"/>
  <c r="BZ6" i="1"/>
  <c r="BZ9" i="1" s="1"/>
  <c r="BY6" i="1"/>
  <c r="BY9" i="1" s="1"/>
  <c r="BX6" i="1"/>
  <c r="BX9" i="1" s="1"/>
  <c r="BW6" i="1"/>
  <c r="BW9" i="1" s="1"/>
  <c r="BV6" i="1"/>
  <c r="BV9" i="1" s="1"/>
  <c r="BU6" i="1"/>
  <c r="BT6" i="1"/>
  <c r="BS6" i="1"/>
  <c r="BS9" i="1" s="1"/>
  <c r="BR6" i="1"/>
  <c r="BR9" i="1" s="1"/>
  <c r="BL6" i="1"/>
  <c r="BK6" i="1"/>
  <c r="BJ6" i="1"/>
  <c r="BJ9" i="1" s="1"/>
  <c r="BO9" i="1" s="1"/>
  <c r="BI6" i="1"/>
  <c r="BM6" i="1" s="1"/>
  <c r="BH6" i="1"/>
  <c r="BH9" i="1" s="1"/>
  <c r="BG6" i="1"/>
  <c r="BG9" i="1" s="1"/>
  <c r="BF6" i="1"/>
  <c r="BF9" i="1" s="1"/>
  <c r="BE6" i="1"/>
  <c r="BE9" i="1" s="1"/>
  <c r="BD6" i="1"/>
  <c r="BC6" i="1"/>
  <c r="BB6" i="1"/>
  <c r="BB9" i="1" s="1"/>
  <c r="BA6" i="1"/>
  <c r="BA9" i="1" s="1"/>
  <c r="AU6" i="1"/>
  <c r="AT6" i="1"/>
  <c r="AS6" i="1"/>
  <c r="AS9" i="1" s="1"/>
  <c r="AX9" i="1" s="1"/>
  <c r="AR6" i="1"/>
  <c r="AV6" i="1" s="1"/>
  <c r="AQ6" i="1"/>
  <c r="AQ9" i="1" s="1"/>
  <c r="AP6" i="1"/>
  <c r="AP9" i="1" s="1"/>
  <c r="AO6" i="1"/>
  <c r="AO9" i="1" s="1"/>
  <c r="AN6" i="1"/>
  <c r="AN9" i="1" s="1"/>
  <c r="AM6" i="1"/>
  <c r="AL6" i="1"/>
  <c r="AK6" i="1"/>
  <c r="AK9" i="1" s="1"/>
  <c r="AJ6" i="1"/>
  <c r="AJ9" i="1" s="1"/>
  <c r="AH6" i="1"/>
  <c r="AF6" i="1"/>
  <c r="AE6" i="1"/>
  <c r="AD6" i="1"/>
  <c r="AC6" i="1"/>
  <c r="AA6" i="1"/>
  <c r="AG6" i="1" s="1"/>
  <c r="Z6" i="1"/>
  <c r="X6" i="1"/>
  <c r="X9" i="1" s="1"/>
  <c r="W6" i="1"/>
  <c r="W9" i="1" s="1"/>
  <c r="V6" i="1"/>
  <c r="V9" i="1" s="1"/>
  <c r="U6" i="1"/>
  <c r="U9" i="1" s="1"/>
  <c r="T6" i="1"/>
  <c r="S6" i="1"/>
  <c r="R6" i="1"/>
  <c r="R9" i="1" s="1"/>
  <c r="Q6" i="1"/>
  <c r="Q9" i="1" s="1"/>
  <c r="P6" i="1"/>
  <c r="P9" i="1" s="1"/>
  <c r="O6" i="1"/>
  <c r="O9" i="1" s="1"/>
  <c r="L6" i="1"/>
  <c r="H6" i="1"/>
  <c r="G6" i="1"/>
  <c r="G9" i="1" s="1"/>
  <c r="F6" i="1"/>
  <c r="F9" i="1" s="1"/>
  <c r="E6" i="1"/>
  <c r="E9" i="1" s="1"/>
  <c r="D6" i="1"/>
  <c r="K6" i="1" s="1"/>
  <c r="C6" i="1"/>
  <c r="C9" i="1" s="1"/>
  <c r="B6" i="1"/>
  <c r="J6" i="1" s="1"/>
  <c r="CH5" i="1"/>
  <c r="CH18" i="1" s="1"/>
  <c r="BX5" i="1"/>
  <c r="BX18" i="1" s="1"/>
  <c r="BG5" i="1"/>
  <c r="BG18" i="1" s="1"/>
  <c r="AP5" i="1"/>
  <c r="AP18" i="1" s="1"/>
  <c r="AH5" i="1"/>
  <c r="AG5" i="1"/>
  <c r="AF5" i="1"/>
  <c r="AE5" i="1"/>
  <c r="AD5" i="1"/>
  <c r="AC5" i="1"/>
  <c r="AA5" i="1"/>
  <c r="Z5" i="1"/>
  <c r="W5" i="1"/>
  <c r="O5" i="1"/>
  <c r="F5" i="1"/>
  <c r="CJ4" i="1"/>
  <c r="CI4" i="1"/>
  <c r="CH4" i="1"/>
  <c r="CG4" i="1"/>
  <c r="CF4" i="1"/>
  <c r="CE4" i="1"/>
  <c r="CD4" i="1"/>
  <c r="CA4" i="1"/>
  <c r="BZ4" i="1"/>
  <c r="BY4" i="1"/>
  <c r="BX4" i="1"/>
  <c r="BW4" i="1"/>
  <c r="BV4" i="1"/>
  <c r="BU4" i="1"/>
  <c r="BT4" i="1"/>
  <c r="BS4" i="1"/>
  <c r="BR4" i="1"/>
  <c r="BO4" i="1"/>
  <c r="BL4" i="1"/>
  <c r="BK4" i="1"/>
  <c r="BM4" i="1" s="1"/>
  <c r="BJ4" i="1"/>
  <c r="BI4" i="1"/>
  <c r="BH4" i="1"/>
  <c r="BG4" i="1"/>
  <c r="BF4" i="1"/>
  <c r="BE4" i="1"/>
  <c r="BD4" i="1"/>
  <c r="BC4" i="1"/>
  <c r="BB4" i="1"/>
  <c r="BA4" i="1"/>
  <c r="AX4" i="1"/>
  <c r="AU4" i="1"/>
  <c r="AT4" i="1"/>
  <c r="AS4" i="1"/>
  <c r="AR4" i="1"/>
  <c r="AV4" i="1" s="1"/>
  <c r="AQ4" i="1"/>
  <c r="AP4" i="1"/>
  <c r="AO4" i="1"/>
  <c r="AN4" i="1"/>
  <c r="AM4" i="1"/>
  <c r="AL4" i="1"/>
  <c r="AK4" i="1"/>
  <c r="AJ4" i="1"/>
  <c r="AF4" i="1"/>
  <c r="AE4" i="1"/>
  <c r="AD4" i="1"/>
  <c r="AC4" i="1"/>
  <c r="AA4" i="1"/>
  <c r="AG4" i="1" s="1"/>
  <c r="Z4" i="1"/>
  <c r="X4" i="1"/>
  <c r="W4" i="1"/>
  <c r="V4" i="1"/>
  <c r="U4" i="1"/>
  <c r="T4" i="1"/>
  <c r="S4" i="1"/>
  <c r="R4" i="1"/>
  <c r="Q4" i="1"/>
  <c r="P4" i="1"/>
  <c r="O4" i="1"/>
  <c r="L4" i="1"/>
  <c r="G4" i="1"/>
  <c r="F4" i="1"/>
  <c r="E4" i="1"/>
  <c r="I4" i="1" s="1"/>
  <c r="M4" i="1" s="1"/>
  <c r="D4" i="1"/>
  <c r="H4" i="1" s="1"/>
  <c r="C4" i="1"/>
  <c r="B4" i="1"/>
  <c r="J4" i="1" s="1"/>
  <c r="CJ3" i="1"/>
  <c r="CI3" i="1"/>
  <c r="CH3" i="1"/>
  <c r="CG3" i="1"/>
  <c r="CF3" i="1"/>
  <c r="CE3" i="1"/>
  <c r="CD3" i="1"/>
  <c r="CA3" i="1"/>
  <c r="BZ3" i="1"/>
  <c r="BY3" i="1"/>
  <c r="BX3" i="1"/>
  <c r="BW3" i="1"/>
  <c r="BV3" i="1"/>
  <c r="BU3" i="1"/>
  <c r="BT3" i="1"/>
  <c r="BS3" i="1"/>
  <c r="BR3" i="1"/>
  <c r="BL3" i="1"/>
  <c r="BO3" i="1" s="1"/>
  <c r="BK3" i="1"/>
  <c r="BJ3" i="1"/>
  <c r="BI3" i="1"/>
  <c r="BM3" i="1" s="1"/>
  <c r="BH3" i="1"/>
  <c r="BG3" i="1"/>
  <c r="BF3" i="1"/>
  <c r="BE3" i="1"/>
  <c r="BD3" i="1"/>
  <c r="BC3" i="1"/>
  <c r="BB3" i="1"/>
  <c r="BA3" i="1"/>
  <c r="AU3" i="1"/>
  <c r="AX3" i="1" s="1"/>
  <c r="AT3" i="1"/>
  <c r="AS3" i="1"/>
  <c r="AR3" i="1"/>
  <c r="AV3" i="1" s="1"/>
  <c r="AQ3" i="1"/>
  <c r="AP3" i="1"/>
  <c r="AO3" i="1"/>
  <c r="AN3" i="1"/>
  <c r="AM3" i="1"/>
  <c r="AL3" i="1"/>
  <c r="AK3" i="1"/>
  <c r="AJ3" i="1"/>
  <c r="AH3" i="1"/>
  <c r="AF3" i="1"/>
  <c r="AE3" i="1"/>
  <c r="AD3" i="1"/>
  <c r="AC3" i="1"/>
  <c r="AA3" i="1"/>
  <c r="Z3" i="1"/>
  <c r="AG3" i="1" s="1"/>
  <c r="X3" i="1"/>
  <c r="W3" i="1"/>
  <c r="V3" i="1"/>
  <c r="U3" i="1"/>
  <c r="T3" i="1"/>
  <c r="S3" i="1"/>
  <c r="R3" i="1"/>
  <c r="Q3" i="1"/>
  <c r="P3" i="1"/>
  <c r="O3" i="1"/>
  <c r="L3" i="1"/>
  <c r="K3" i="1"/>
  <c r="H3" i="1"/>
  <c r="G3" i="1"/>
  <c r="F3" i="1"/>
  <c r="E3" i="1"/>
  <c r="D3" i="1"/>
  <c r="C3" i="1"/>
  <c r="I3" i="1" s="1"/>
  <c r="M3" i="1" s="1"/>
  <c r="B3" i="1"/>
  <c r="J3" i="1" s="1"/>
  <c r="CJ2" i="1"/>
  <c r="CJ5" i="1" s="1"/>
  <c r="CJ18" i="1" s="1"/>
  <c r="CI2" i="1"/>
  <c r="CI5" i="1" s="1"/>
  <c r="CH2" i="1"/>
  <c r="CG2" i="1"/>
  <c r="CG5" i="1" s="1"/>
  <c r="CF2" i="1"/>
  <c r="CF5" i="1" s="1"/>
  <c r="CE2" i="1"/>
  <c r="CE5" i="1" s="1"/>
  <c r="CE18" i="1" s="1"/>
  <c r="CD2" i="1"/>
  <c r="CD5" i="1" s="1"/>
  <c r="CD18" i="1" s="1"/>
  <c r="CA2" i="1"/>
  <c r="CA5" i="1" s="1"/>
  <c r="CA18" i="1" s="1"/>
  <c r="BZ2" i="1"/>
  <c r="BZ5" i="1" s="1"/>
  <c r="BZ18" i="1" s="1"/>
  <c r="BY2" i="1"/>
  <c r="BY5" i="1" s="1"/>
  <c r="BX2" i="1"/>
  <c r="BW2" i="1"/>
  <c r="BW5" i="1" s="1"/>
  <c r="BV2" i="1"/>
  <c r="BV5" i="1" s="1"/>
  <c r="BU2" i="1"/>
  <c r="BU5" i="1" s="1"/>
  <c r="BU18" i="1" s="1"/>
  <c r="BT2" i="1"/>
  <c r="BT5" i="1" s="1"/>
  <c r="BT18" i="1" s="1"/>
  <c r="BS2" i="1"/>
  <c r="BS5" i="1" s="1"/>
  <c r="BS18" i="1" s="1"/>
  <c r="BR2" i="1"/>
  <c r="BR5" i="1" s="1"/>
  <c r="BR18" i="1" s="1"/>
  <c r="BL2" i="1"/>
  <c r="BL5" i="1" s="1"/>
  <c r="BK2" i="1"/>
  <c r="BK5" i="1" s="1"/>
  <c r="BJ2" i="1"/>
  <c r="BO2" i="1" s="1"/>
  <c r="BI2" i="1"/>
  <c r="BI5" i="1" s="1"/>
  <c r="BH2" i="1"/>
  <c r="BH5" i="1" s="1"/>
  <c r="BG2" i="1"/>
  <c r="BF2" i="1"/>
  <c r="BF5" i="1" s="1"/>
  <c r="BF18" i="1" s="1"/>
  <c r="BE2" i="1"/>
  <c r="BE5" i="1" s="1"/>
  <c r="BE18" i="1" s="1"/>
  <c r="BD2" i="1"/>
  <c r="BD5" i="1" s="1"/>
  <c r="BC2" i="1"/>
  <c r="BC5" i="1" s="1"/>
  <c r="BB2" i="1"/>
  <c r="BB5" i="1" s="1"/>
  <c r="BA2" i="1"/>
  <c r="BA5" i="1" s="1"/>
  <c r="AU2" i="1"/>
  <c r="AU5" i="1" s="1"/>
  <c r="AU18" i="1" s="1"/>
  <c r="AT2" i="1"/>
  <c r="AT5" i="1" s="1"/>
  <c r="AT18" i="1" s="1"/>
  <c r="AS2" i="1"/>
  <c r="AX2" i="1" s="1"/>
  <c r="AR2" i="1"/>
  <c r="AR5" i="1" s="1"/>
  <c r="AQ2" i="1"/>
  <c r="AQ5" i="1" s="1"/>
  <c r="AP2" i="1"/>
  <c r="AO2" i="1"/>
  <c r="AO5" i="1" s="1"/>
  <c r="AN2" i="1"/>
  <c r="AN5" i="1" s="1"/>
  <c r="AM2" i="1"/>
  <c r="AM5" i="1" s="1"/>
  <c r="AM18" i="1" s="1"/>
  <c r="AL2" i="1"/>
  <c r="AL5" i="1" s="1"/>
  <c r="AL18" i="1" s="1"/>
  <c r="AK2" i="1"/>
  <c r="AK5" i="1" s="1"/>
  <c r="AK18" i="1" s="1"/>
  <c r="AJ2" i="1"/>
  <c r="AJ5" i="1" s="1"/>
  <c r="AJ18" i="1" s="1"/>
  <c r="AH2" i="1"/>
  <c r="AF2" i="1"/>
  <c r="AE2" i="1"/>
  <c r="AD2" i="1"/>
  <c r="AC2" i="1"/>
  <c r="AA2" i="1"/>
  <c r="AG2" i="1" s="1"/>
  <c r="Z2" i="1"/>
  <c r="X2" i="1"/>
  <c r="X5" i="1" s="1"/>
  <c r="X18" i="1" s="1"/>
  <c r="W2" i="1"/>
  <c r="V2" i="1"/>
  <c r="V5" i="1" s="1"/>
  <c r="U2" i="1"/>
  <c r="U5" i="1" s="1"/>
  <c r="T2" i="1"/>
  <c r="T5" i="1" s="1"/>
  <c r="S2" i="1"/>
  <c r="S5" i="1" s="1"/>
  <c r="S18" i="1" s="1"/>
  <c r="R2" i="1"/>
  <c r="R5" i="1" s="1"/>
  <c r="R18" i="1" s="1"/>
  <c r="Q2" i="1"/>
  <c r="Q5" i="1" s="1"/>
  <c r="Q18" i="1" s="1"/>
  <c r="P2" i="1"/>
  <c r="P5" i="1" s="1"/>
  <c r="P18" i="1" s="1"/>
  <c r="O2" i="1"/>
  <c r="L2" i="1"/>
  <c r="K2" i="1"/>
  <c r="G2" i="1"/>
  <c r="G5" i="1" s="1"/>
  <c r="G18" i="1" s="1"/>
  <c r="F2" i="1"/>
  <c r="L5" i="1" s="1"/>
  <c r="E2" i="1"/>
  <c r="E5" i="1" s="1"/>
  <c r="E18" i="1" s="1"/>
  <c r="D2" i="1"/>
  <c r="K5" i="1" s="1"/>
  <c r="C2" i="1"/>
  <c r="C5" i="1" s="1"/>
  <c r="C18" i="1" s="1"/>
  <c r="B2" i="1"/>
  <c r="J5" i="1" s="1"/>
  <c r="AW7" i="1" l="1"/>
  <c r="AY7" i="1"/>
  <c r="BN8" i="1"/>
  <c r="BP8" i="1"/>
  <c r="BP13" i="1"/>
  <c r="BN13" i="1"/>
  <c r="AY12" i="1"/>
  <c r="AW12" i="1"/>
  <c r="AW16" i="1"/>
  <c r="AY16" i="1"/>
  <c r="BN4" i="1"/>
  <c r="BP4" i="1"/>
  <c r="BN6" i="1"/>
  <c r="BO13" i="1"/>
  <c r="T18" i="1"/>
  <c r="AN18" i="1"/>
  <c r="BA18" i="1"/>
  <c r="BM5" i="1"/>
  <c r="BV18" i="1"/>
  <c r="CF18" i="1"/>
  <c r="BH18" i="1"/>
  <c r="BN15" i="1"/>
  <c r="BP15" i="1"/>
  <c r="U18" i="1"/>
  <c r="AO18" i="1"/>
  <c r="BB18" i="1"/>
  <c r="BW18" i="1"/>
  <c r="CG18" i="1"/>
  <c r="BN7" i="1"/>
  <c r="BP7" i="1"/>
  <c r="AW8" i="1"/>
  <c r="AY8" i="1"/>
  <c r="AY13" i="1"/>
  <c r="BN16" i="1"/>
  <c r="BP16" i="1"/>
  <c r="V18" i="1"/>
  <c r="BC18" i="1"/>
  <c r="BK18" i="1"/>
  <c r="F18" i="1"/>
  <c r="AX13" i="1"/>
  <c r="AW13" i="1" s="1"/>
  <c r="BN12" i="1"/>
  <c r="BP12" i="1"/>
  <c r="AW4" i="1"/>
  <c r="AY4" i="1"/>
  <c r="AQ18" i="1"/>
  <c r="BD18" i="1"/>
  <c r="BL18" i="1"/>
  <c r="BY18" i="1"/>
  <c r="CI18" i="1"/>
  <c r="BP3" i="1"/>
  <c r="BN3" i="1"/>
  <c r="O18" i="1"/>
  <c r="BP11" i="1"/>
  <c r="AW15" i="1"/>
  <c r="AY15" i="1"/>
  <c r="AY3" i="1"/>
  <c r="AW3" i="1"/>
  <c r="AV5" i="1"/>
  <c r="W18" i="1"/>
  <c r="BN14" i="1"/>
  <c r="J2" i="1"/>
  <c r="H2" i="1"/>
  <c r="D5" i="1"/>
  <c r="AR9" i="1"/>
  <c r="AV9" i="1" s="1"/>
  <c r="BI9" i="1"/>
  <c r="BM9" i="1" s="1"/>
  <c r="I10" i="1"/>
  <c r="D13" i="1"/>
  <c r="AR17" i="1"/>
  <c r="AV17" i="1" s="1"/>
  <c r="BI17" i="1"/>
  <c r="BM17" i="1" s="1"/>
  <c r="I2" i="1"/>
  <c r="K4" i="1"/>
  <c r="AX6" i="1"/>
  <c r="AY6" i="1" s="1"/>
  <c r="BO6" i="1"/>
  <c r="BP6" i="1" s="1"/>
  <c r="H8" i="1"/>
  <c r="M9" i="1" s="1"/>
  <c r="J10" i="1"/>
  <c r="K11" i="1"/>
  <c r="M13" i="1"/>
  <c r="AX14" i="1"/>
  <c r="AY14" i="1" s="1"/>
  <c r="BO14" i="1"/>
  <c r="BP14" i="1" s="1"/>
  <c r="H16" i="1"/>
  <c r="H17" i="1" s="1"/>
  <c r="K9" i="1"/>
  <c r="AV10" i="1"/>
  <c r="BM10" i="1"/>
  <c r="AW11" i="1"/>
  <c r="BN11" i="1"/>
  <c r="K17" i="1"/>
  <c r="L18" i="1"/>
  <c r="AV2" i="1"/>
  <c r="BM2" i="1"/>
  <c r="I6" i="1"/>
  <c r="D9" i="1"/>
  <c r="L9" i="1"/>
  <c r="I14" i="1"/>
  <c r="D17" i="1"/>
  <c r="L17" i="1"/>
  <c r="AS5" i="1"/>
  <c r="BJ5" i="1"/>
  <c r="AX10" i="1"/>
  <c r="BO10" i="1"/>
  <c r="H12" i="1"/>
  <c r="H13" i="1" s="1"/>
  <c r="B5" i="1"/>
  <c r="B13" i="1"/>
  <c r="AY10" i="1" l="1"/>
  <c r="AW10" i="1"/>
  <c r="AW6" i="1"/>
  <c r="BO5" i="1"/>
  <c r="BJ18" i="1"/>
  <c r="BO18" i="1" s="1"/>
  <c r="BN2" i="1"/>
  <c r="BP2" i="1"/>
  <c r="I13" i="1"/>
  <c r="M10" i="1"/>
  <c r="AY9" i="1"/>
  <c r="AW9" i="1"/>
  <c r="BI18" i="1"/>
  <c r="BM18" i="1" s="1"/>
  <c r="BP9" i="1"/>
  <c r="BN9" i="1"/>
  <c r="M2" i="1"/>
  <c r="I5" i="1"/>
  <c r="H9" i="1"/>
  <c r="AR18" i="1"/>
  <c r="AV18" i="1" s="1"/>
  <c r="BP5" i="1"/>
  <c r="BN5" i="1"/>
  <c r="I17" i="1"/>
  <c r="M14" i="1"/>
  <c r="BP17" i="1"/>
  <c r="BN17" i="1"/>
  <c r="D18" i="1"/>
  <c r="K18" i="1"/>
  <c r="I9" i="1"/>
  <c r="M6" i="1"/>
  <c r="AX5" i="1"/>
  <c r="AW5" i="1" s="1"/>
  <c r="AS18" i="1"/>
  <c r="AX18" i="1" s="1"/>
  <c r="J18" i="1"/>
  <c r="B18" i="1"/>
  <c r="AY17" i="1"/>
  <c r="AW17" i="1"/>
  <c r="H5" i="1"/>
  <c r="M5" i="1"/>
  <c r="AW14" i="1"/>
  <c r="M17" i="1"/>
  <c r="AW2" i="1"/>
  <c r="AY2" i="1"/>
  <c r="BP10" i="1"/>
  <c r="BN10" i="1"/>
  <c r="H18" i="1" l="1"/>
  <c r="M18" i="1"/>
  <c r="AY18" i="1"/>
  <c r="AW18" i="1"/>
  <c r="AY5" i="1"/>
  <c r="BP18" i="1"/>
  <c r="BN18" i="1"/>
  <c r="I18" i="1"/>
</calcChain>
</file>

<file path=xl/sharedStrings.xml><?xml version="1.0" encoding="utf-8"?>
<sst xmlns="http://schemas.openxmlformats.org/spreadsheetml/2006/main" count="101" uniqueCount="84">
  <si>
    <t>Mês</t>
  </si>
  <si>
    <t>e-mail</t>
  </si>
  <si>
    <t>e-mails
respondidos</t>
  </si>
  <si>
    <t>e-OUV</t>
  </si>
  <si>
    <t>e-OUVs
respondidos</t>
  </si>
  <si>
    <t>e-SIC</t>
  </si>
  <si>
    <t>e-SICs
respondidos</t>
  </si>
  <si>
    <t>Total de
Manifestações</t>
  </si>
  <si>
    <t>Total de
Respostas</t>
  </si>
  <si>
    <t>% respostas
e-mail</t>
  </si>
  <si>
    <t>% respostas
e-OUV</t>
  </si>
  <si>
    <t>% respostas
e-SIC</t>
  </si>
  <si>
    <t>% respostas
Total</t>
  </si>
  <si>
    <t>Denúncias</t>
  </si>
  <si>
    <t>Reclamações</t>
  </si>
  <si>
    <t>Solicitações</t>
  </si>
  <si>
    <t>Sugestões</t>
  </si>
  <si>
    <t>Elogios</t>
  </si>
  <si>
    <t>Simplifique</t>
  </si>
  <si>
    <t>Comunicações</t>
  </si>
  <si>
    <t>Total de Pedidos de Acesso à Informação</t>
  </si>
  <si>
    <t>Total de Pedidos de Acesso à Informação Respondidos</t>
  </si>
  <si>
    <t>Total de Atendimentos Presenciais</t>
  </si>
  <si>
    <t>Atendimentos por telefone</t>
  </si>
  <si>
    <t>Nº de horas de atendimento por Telefone</t>
  </si>
  <si>
    <t>Média do tempo de 
resposta
e-mail</t>
  </si>
  <si>
    <t>Média do tempo de 
resposta 
e-OUV</t>
  </si>
  <si>
    <t>Média do tempo de 
resposta 
e-SIC</t>
  </si>
  <si>
    <t>Média do tempo de 
resposta
 Manifestações</t>
  </si>
  <si>
    <t>Média do tempo de atendimento por Telefone</t>
  </si>
  <si>
    <t>Média do tempo de 
resposta
 Acesso à Informação</t>
  </si>
  <si>
    <t>nº de Pessoas Físicas
 e-mail</t>
  </si>
  <si>
    <t>nº de Pessoas Jurídicas 
e-mail</t>
  </si>
  <si>
    <t>nº de Pessoas Físicas  
e-OUV</t>
  </si>
  <si>
    <t>nº de Pessoas Jurídicas 
 e-OUV</t>
  </si>
  <si>
    <t>nº de Pessoas Físicas 
 e-SIC</t>
  </si>
  <si>
    <t>nº de Pessoas Jurídicas 
e-SIC</t>
  </si>
  <si>
    <t>nº de Pessoas Físicas 
Presencial</t>
  </si>
  <si>
    <t>nº de Pessoas Jurídicas 
Presencial</t>
  </si>
  <si>
    <t>nº de Pessoas Físicas
Manifestações</t>
  </si>
  <si>
    <t>nº de Pessoas Jurídicas 
Manifestações</t>
  </si>
  <si>
    <t>nº de Pessoas Físicas
Telefone</t>
  </si>
  <si>
    <t>nº de Pessoas Jurídicas 
Telefone</t>
  </si>
  <si>
    <t>Total de Pessoas Físicas</t>
  </si>
  <si>
    <t>% Total de Pessoas Físicas</t>
  </si>
  <si>
    <t>Total de Pessoas Jurídicas</t>
  </si>
  <si>
    <t>% Total de Pessoas Jurídicas</t>
  </si>
  <si>
    <t>nº de Pessoas Gênero Feminino
 e-mail</t>
  </si>
  <si>
    <t>nº de Pessoas Gênero Masculino 
e-mail</t>
  </si>
  <si>
    <t>nº de Pessoas Gênero Feminino  
e-OUV</t>
  </si>
  <si>
    <t>nº de Pessoas Gênero Masculino 
 e-OUV</t>
  </si>
  <si>
    <t>nº de Pessoas Gênero Feminino 
 e-SIC</t>
  </si>
  <si>
    <t>nº de Pessoas Gênero Masculino 
e-SIC</t>
  </si>
  <si>
    <t>nº de Pessoas Gênero Feminino 
Presencial</t>
  </si>
  <si>
    <t>nº de Pessoas Gênero Masculino 
Presencial</t>
  </si>
  <si>
    <t>nº de Pessoas Gênero Feminino
Manifestações</t>
  </si>
  <si>
    <t>nº de Pessoas Gênero Masculino 
Manifestações</t>
  </si>
  <si>
    <t>nº de Pessoas Gênero Feminino
Telefone</t>
  </si>
  <si>
    <t>nº de Pessoas Gênero Masculino 
Telefone</t>
  </si>
  <si>
    <t>Total de Pessoas Gênero Feminino</t>
  </si>
  <si>
    <t>% Total de Pessoas Gênero Feminino</t>
  </si>
  <si>
    <t>Total de Pessoas Gênero Masculino</t>
  </si>
  <si>
    <t>% Total de Pessoas Gênero Masculino</t>
  </si>
  <si>
    <t>Mail</t>
  </si>
  <si>
    <t>Trello</t>
  </si>
  <si>
    <t>Fale Conosco</t>
  </si>
  <si>
    <t>Ouv</t>
  </si>
  <si>
    <t>Janeiro</t>
  </si>
  <si>
    <t>Fevereiro</t>
  </si>
  <si>
    <t>Março</t>
  </si>
  <si>
    <t>TOTAL 1º TRIMESTRE</t>
  </si>
  <si>
    <t>Abril</t>
  </si>
  <si>
    <t>Maio</t>
  </si>
  <si>
    <t>Junho</t>
  </si>
  <si>
    <t>TOTAL 2º TRIMESTRE</t>
  </si>
  <si>
    <t>Julho</t>
  </si>
  <si>
    <t>Agosto</t>
  </si>
  <si>
    <t>Setembro</t>
  </si>
  <si>
    <t>TOTAL 3º TRIMESTRE</t>
  </si>
  <si>
    <t>Outubro</t>
  </si>
  <si>
    <t>Novembro</t>
  </si>
  <si>
    <t>Dezembro</t>
  </si>
  <si>
    <t>TOTAL 4º TRIMESTRE</t>
  </si>
  <si>
    <t>TOTAL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</si>
</sst>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/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textRotation="90"/>
    </xf>
    <xf numFmtId="0" fontId="3" fillId="2" borderId="2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textRotation="90"/>
    </xf>
    <xf numFmtId="0" fontId="4" fillId="3" borderId="2" xfId="0" applyFont="1" applyFill="1" applyBorder="1" applyAlignment="1">
      <alignment horizontal="center" vertical="center" textRotation="180"/>
    </xf>
    <xf numFmtId="0" fontId="4" fillId="4" borderId="2" xfId="0" applyFont="1" applyFill="1" applyBorder="1" applyAlignment="1">
      <alignment horizontal="center" vertical="center" textRotation="90"/>
    </xf>
    <xf numFmtId="0" fontId="4" fillId="4" borderId="2" xfId="0" applyFont="1" applyFill="1" applyBorder="1" applyAlignment="1">
      <alignment horizontal="center" vertical="center" textRotation="180"/>
    </xf>
    <xf numFmtId="0" fontId="3" fillId="2" borderId="3" xfId="0" applyFont="1" applyFill="1" applyBorder="1" applyAlignment="1">
      <alignment horizontal="center" vertical="center" textRotation="90"/>
    </xf>
    <xf numFmtId="0" fontId="3" fillId="2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textRotation="90"/>
    </xf>
    <xf numFmtId="0" fontId="4" fillId="3" borderId="3" xfId="0" applyFont="1" applyFill="1" applyBorder="1" applyAlignment="1">
      <alignment horizontal="center" vertical="center" textRotation="180"/>
    </xf>
    <xf numFmtId="0" fontId="4" fillId="4" borderId="3" xfId="0" applyFont="1" applyFill="1" applyBorder="1" applyAlignment="1">
      <alignment horizontal="center" vertical="center" textRotation="90"/>
    </xf>
    <xf numFmtId="0" fontId="4" fillId="4" borderId="3" xfId="0" applyFont="1" applyFill="1" applyBorder="1" applyAlignment="1">
      <alignment horizontal="center" vertical="center" textRotation="180"/>
    </xf>
    <xf numFmtId="0" fontId="1" fillId="2" borderId="1" xfId="0" applyFont="1" applyFill="1" applyBorder="1"/>
    <xf numFmtId="1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/>
    <xf numFmtId="0" fontId="1" fillId="8" borderId="1" xfId="0" applyFont="1" applyFill="1" applyBorder="1" applyAlignment="1">
      <alignment horizontal="center" vertical="center"/>
    </xf>
    <xf numFmtId="1" fontId="1" fillId="8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textRotation="90"/>
    </xf>
    <xf numFmtId="0" fontId="3" fillId="2" borderId="4" xfId="0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textRotation="90"/>
    </xf>
    <xf numFmtId="0" fontId="4" fillId="3" borderId="4" xfId="0" applyFont="1" applyFill="1" applyBorder="1" applyAlignment="1">
      <alignment horizontal="center" vertical="center" textRotation="180"/>
    </xf>
    <xf numFmtId="0" fontId="4" fillId="4" borderId="4" xfId="0" applyFont="1" applyFill="1" applyBorder="1" applyAlignment="1">
      <alignment horizontal="center" vertical="center" textRotation="90"/>
    </xf>
    <xf numFmtId="0" fontId="1" fillId="9" borderId="1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textRotation="18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cu\Documents\UnB\CFQ\Controle%20de%20Manifesta&#231;&#245;es%202024%20-%20Vers&#227;o%2029-04.xlsx" TargetMode="External"/><Relationship Id="rId1" Type="http://schemas.openxmlformats.org/officeDocument/2006/relationships/externalLinkPath" Target="Controle%20de%20Manifesta&#231;&#245;es%202024%20-%20Vers&#227;o%2029-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tendimentos Telefônicos"/>
      <sheetName val="Manifestações"/>
      <sheetName val="Ouvidoria em Números"/>
      <sheetName val="Gráficos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3810-7D24-4F00-A929-3FB2A472C623}">
  <dimension ref="A1:CK19"/>
  <sheetViews>
    <sheetView tabSelected="1" workbookViewId="0">
      <selection activeCell="C23" sqref="C23"/>
    </sheetView>
  </sheetViews>
  <sheetFormatPr defaultColWidth="0" defaultRowHeight="14.4" x14ac:dyDescent="0.3"/>
  <cols>
    <col min="1" max="1" width="19.44140625" bestFit="1" customWidth="1"/>
    <col min="2" max="13" width="14" customWidth="1"/>
    <col min="14" max="14" width="10.6640625" customWidth="1"/>
    <col min="15" max="15" width="10.109375" bestFit="1" customWidth="1"/>
    <col min="16" max="16" width="12.44140625" bestFit="1" customWidth="1"/>
    <col min="17" max="17" width="11.44140625" customWidth="1"/>
    <col min="18" max="18" width="10" bestFit="1" customWidth="1"/>
    <col min="19" max="19" width="7.33203125" bestFit="1" customWidth="1"/>
    <col min="20" max="20" width="11.33203125" bestFit="1" customWidth="1"/>
    <col min="21" max="21" width="13.88671875" bestFit="1" customWidth="1"/>
    <col min="22" max="22" width="19.44140625" customWidth="1"/>
    <col min="23" max="23" width="18.44140625" customWidth="1"/>
    <col min="24" max="24" width="14.88671875" customWidth="1"/>
    <col min="25" max="25" width="10.6640625" customWidth="1"/>
    <col min="26" max="26" width="17.44140625" bestFit="1" customWidth="1"/>
    <col min="27" max="27" width="26.6640625" customWidth="1"/>
    <col min="28" max="28" width="10.6640625" customWidth="1"/>
    <col min="29" max="31" width="18.6640625" bestFit="1" customWidth="1"/>
    <col min="32" max="33" width="18.6640625" customWidth="1"/>
    <col min="34" max="34" width="19.6640625" bestFit="1" customWidth="1"/>
    <col min="35" max="35" width="10.6640625" customWidth="1"/>
    <col min="36" max="40" width="13.44140625" bestFit="1" customWidth="1"/>
    <col min="41" max="41" width="13.88671875" bestFit="1" customWidth="1"/>
    <col min="42" max="43" width="13.88671875" customWidth="1"/>
    <col min="44" max="45" width="14.109375" bestFit="1" customWidth="1"/>
    <col min="46" max="47" width="13.88671875" bestFit="1" customWidth="1"/>
    <col min="48" max="48" width="8.5546875" bestFit="1" customWidth="1"/>
    <col min="49" max="49" width="10.5546875" bestFit="1" customWidth="1"/>
    <col min="50" max="50" width="8.5546875" bestFit="1" customWidth="1"/>
    <col min="51" max="51" width="10.5546875" bestFit="1" customWidth="1"/>
    <col min="52" max="52" width="10.6640625" customWidth="1"/>
    <col min="53" max="53" width="16.6640625" bestFit="1" customWidth="1"/>
    <col min="54" max="54" width="17.5546875" bestFit="1" customWidth="1"/>
    <col min="55" max="55" width="16.6640625" bestFit="1" customWidth="1"/>
    <col min="56" max="56" width="17.5546875" bestFit="1" customWidth="1"/>
    <col min="57" max="57" width="16.6640625" bestFit="1" customWidth="1"/>
    <col min="58" max="58" width="17.5546875" bestFit="1" customWidth="1"/>
    <col min="59" max="60" width="17.5546875" customWidth="1"/>
    <col min="61" max="61" width="16.6640625" bestFit="1" customWidth="1"/>
    <col min="62" max="62" width="17.5546875" bestFit="1" customWidth="1"/>
    <col min="63" max="63" width="16.6640625" bestFit="1" customWidth="1"/>
    <col min="64" max="64" width="17.5546875" bestFit="1" customWidth="1"/>
    <col min="65" max="68" width="15.33203125" bestFit="1" customWidth="1"/>
    <col min="69" max="69" width="14.33203125" bestFit="1" customWidth="1"/>
    <col min="70" max="70" width="11.44140625" bestFit="1" customWidth="1"/>
    <col min="71" max="71" width="12.44140625" bestFit="1" customWidth="1"/>
    <col min="72" max="72" width="10.109375" bestFit="1" customWidth="1"/>
    <col min="73" max="73" width="10" bestFit="1" customWidth="1"/>
    <col min="74" max="74" width="7.33203125" bestFit="1" customWidth="1"/>
    <col min="75" max="75" width="11.33203125" bestFit="1" customWidth="1"/>
    <col min="76" max="76" width="8" customWidth="1"/>
    <col min="77" max="77" width="6.109375" bestFit="1" customWidth="1"/>
    <col min="78" max="78" width="8" customWidth="1"/>
    <col min="79" max="79" width="13.88671875" bestFit="1" customWidth="1"/>
    <col min="80" max="81" width="14.33203125" bestFit="1" customWidth="1"/>
    <col min="82" max="82" width="10.109375" bestFit="1" customWidth="1"/>
    <col min="83" max="83" width="12.44140625" bestFit="1" customWidth="1"/>
    <col min="84" max="84" width="11.44140625" bestFit="1" customWidth="1"/>
    <col min="85" max="85" width="10" bestFit="1" customWidth="1"/>
    <col min="86" max="86" width="7.33203125" bestFit="1" customWidth="1"/>
    <col min="87" max="87" width="13.88671875" bestFit="1" customWidth="1"/>
    <col min="88" max="88" width="11.33203125" bestFit="1" customWidth="1"/>
    <col min="89" max="89" width="14.33203125" bestFit="1" customWidth="1"/>
  </cols>
  <sheetData>
    <row r="1" spans="1:89" ht="57.6" x14ac:dyDescent="0.3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1" t="s">
        <v>19</v>
      </c>
      <c r="V1" s="2" t="s">
        <v>20</v>
      </c>
      <c r="W1" s="2" t="s">
        <v>21</v>
      </c>
      <c r="X1" s="2" t="s">
        <v>22</v>
      </c>
      <c r="Y1" s="2"/>
      <c r="Z1" s="2" t="s">
        <v>23</v>
      </c>
      <c r="AA1" s="3" t="s">
        <v>24</v>
      </c>
      <c r="AB1" s="4"/>
      <c r="AC1" s="2" t="s">
        <v>25</v>
      </c>
      <c r="AD1" s="2" t="s">
        <v>26</v>
      </c>
      <c r="AE1" s="2" t="s">
        <v>27</v>
      </c>
      <c r="AF1" s="2" t="s">
        <v>28</v>
      </c>
      <c r="AG1" s="3" t="s">
        <v>29</v>
      </c>
      <c r="AH1" s="2" t="s">
        <v>30</v>
      </c>
      <c r="AI1" s="4"/>
      <c r="AJ1" s="2" t="s">
        <v>31</v>
      </c>
      <c r="AK1" s="2" t="s">
        <v>32</v>
      </c>
      <c r="AL1" s="2" t="s">
        <v>33</v>
      </c>
      <c r="AM1" s="2" t="s">
        <v>34</v>
      </c>
      <c r="AN1" s="2" t="s">
        <v>35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2" t="s">
        <v>42</v>
      </c>
      <c r="AV1" s="2" t="s">
        <v>43</v>
      </c>
      <c r="AW1" s="2" t="s">
        <v>44</v>
      </c>
      <c r="AX1" s="2" t="s">
        <v>45</v>
      </c>
      <c r="AY1" s="2" t="s">
        <v>46</v>
      </c>
      <c r="AZ1" s="4"/>
      <c r="BA1" s="2" t="s">
        <v>47</v>
      </c>
      <c r="BB1" s="2" t="s">
        <v>48</v>
      </c>
      <c r="BC1" s="2" t="s">
        <v>49</v>
      </c>
      <c r="BD1" s="2" t="s">
        <v>50</v>
      </c>
      <c r="BE1" s="2" t="s">
        <v>51</v>
      </c>
      <c r="BF1" s="2" t="s">
        <v>52</v>
      </c>
      <c r="BG1" s="2" t="s">
        <v>53</v>
      </c>
      <c r="BH1" s="2" t="s">
        <v>54</v>
      </c>
      <c r="BI1" s="2" t="s">
        <v>55</v>
      </c>
      <c r="BJ1" s="2" t="s">
        <v>56</v>
      </c>
      <c r="BK1" s="2" t="s">
        <v>57</v>
      </c>
      <c r="BL1" s="2" t="s">
        <v>58</v>
      </c>
      <c r="BM1" s="2" t="s">
        <v>59</v>
      </c>
      <c r="BN1" s="2" t="s">
        <v>60</v>
      </c>
      <c r="BO1" s="2" t="s">
        <v>61</v>
      </c>
      <c r="BP1" s="2" t="s">
        <v>62</v>
      </c>
      <c r="BQ1" s="5" t="s">
        <v>63</v>
      </c>
      <c r="BR1" s="5" t="s">
        <v>15</v>
      </c>
      <c r="BS1" s="5" t="s">
        <v>14</v>
      </c>
      <c r="BT1" s="5" t="s">
        <v>13</v>
      </c>
      <c r="BU1" s="5" t="s">
        <v>16</v>
      </c>
      <c r="BV1" s="5" t="s">
        <v>17</v>
      </c>
      <c r="BW1" s="5" t="s">
        <v>18</v>
      </c>
      <c r="BX1" s="5" t="s">
        <v>1</v>
      </c>
      <c r="BY1" s="5" t="s">
        <v>64</v>
      </c>
      <c r="BZ1" s="5" t="s">
        <v>65</v>
      </c>
      <c r="CA1" s="5" t="s">
        <v>19</v>
      </c>
      <c r="CB1" s="5" t="s">
        <v>63</v>
      </c>
      <c r="CC1" s="6" t="s">
        <v>66</v>
      </c>
      <c r="CD1" s="2" t="s">
        <v>13</v>
      </c>
      <c r="CE1" s="2" t="s">
        <v>14</v>
      </c>
      <c r="CF1" s="2" t="s">
        <v>15</v>
      </c>
      <c r="CG1" s="2" t="s">
        <v>16</v>
      </c>
      <c r="CH1" s="2" t="s">
        <v>17</v>
      </c>
      <c r="CI1" s="1" t="s">
        <v>19</v>
      </c>
      <c r="CJ1" s="2" t="s">
        <v>18</v>
      </c>
      <c r="CK1" s="6" t="s">
        <v>66</v>
      </c>
    </row>
    <row r="2" spans="1:89" ht="15" customHeight="1" x14ac:dyDescent="0.3">
      <c r="A2" s="7" t="s">
        <v>67</v>
      </c>
      <c r="B2" s="8">
        <f>COUNTIFS([1]Manifestações!$A$2:$A$2000,"mail",[1]Manifestações!$B$2:$B$2000,"&gt;=01/01/2024",[1]Manifestações!$B$2:$B$2000,"&lt;01/02/2024",[1]Manifestações!$F$2:$F$2000, "&lt;&gt;Comunicação")</f>
        <v>0</v>
      </c>
      <c r="C2" s="9">
        <f>COUNTIFS([1]Manifestações!$A$2:$A$2000,"mail",[1]Manifestações!$B$2:$B$2000,"&gt;=01/01/2024",[1]Manifestações!$B$2:$B$2000,"&lt;01/02/2024",[1]Manifestações!$L$2:$L$2000,"Finalizada",[1]Manifestações!$F$2:$F$2000, "&lt;&gt;Comunicação")</f>
        <v>0</v>
      </c>
      <c r="D2" s="8">
        <f>COUNTIFS([1]Manifestações!$A$2:$A$2000,"ouv",[1]Manifestações!$B$2:$B$2000,"&gt;=01/01/2024",[1]Manifestações!$B$2:$B$2000,"&lt;01/02/2024",[1]Manifestações!$F$2:$F$2000, "&lt;&gt;Comunicação")</f>
        <v>0</v>
      </c>
      <c r="E2" s="9">
        <f>COUNTIFS([1]Manifestações!$A$2:$A$2000,"ouv",[1]Manifestações!$B$2:$B$2000,"&gt;=01/01/2024",[1]Manifestações!$B$2:$B$2000,"&lt;01/02/2024",[1]Manifestações!$L$2:$L$2000,"Finalizada",[1]Manifestações!$F$2:$F$2000, "&lt;&gt;Comunicação")</f>
        <v>0</v>
      </c>
      <c r="F2" s="8">
        <f>COUNTIFS([1]Manifestações!$A$2:$A$2000,"sic",[1]Manifestações!$B$2:$B$2000,"&gt;=01/01/2024",[1]Manifestações!$B$2:$B$2000,"&lt;01/02/2024")</f>
        <v>0</v>
      </c>
      <c r="G2" s="9">
        <f>COUNTIFS([1]Manifestações!$A$2:$A$2000,"sic",[1]Manifestações!$B$2:$B$2000,"&gt;=01/01/2024",[1]Manifestações!$B$2:$B$2000,"&lt;01/02/2024",[1]Manifestações!$L$2:$L$2000,"Finalizada")</f>
        <v>0</v>
      </c>
      <c r="H2" s="8">
        <f t="shared" ref="H2:I4" si="0">SUM(B2,D2,F2)</f>
        <v>0</v>
      </c>
      <c r="I2" s="9">
        <f t="shared" si="0"/>
        <v>0</v>
      </c>
      <c r="J2" s="10" t="str">
        <f>IF(B2&gt;0,C2/B2*100," ")</f>
        <v xml:space="preserve"> </v>
      </c>
      <c r="K2" s="11" t="str">
        <f>IF(D2&gt;0,E2/D2*100," ")</f>
        <v xml:space="preserve"> </v>
      </c>
      <c r="L2" s="10" t="str">
        <f>IF(F2&gt;0,G2/F2*100," ")</f>
        <v xml:space="preserve"> </v>
      </c>
      <c r="M2" s="11" t="str">
        <f>IF(I2&gt;0,SUM(C2,E2,G2)/SUM(B2,D2,F2)*100," ")</f>
        <v xml:space="preserve"> </v>
      </c>
      <c r="N2" s="12"/>
      <c r="O2" s="9">
        <f>COUNTIFS([1]Manifestações!$F$2:$F$2000,"denúncia",[1]Manifestações!$B$2:$B$2000,"&gt;=01/01/2024",[1]Manifestações!$B$2:$B$2000,"&lt;01/02/2024")</f>
        <v>0</v>
      </c>
      <c r="P2" s="8">
        <f>COUNTIFS([1]Manifestações!$F$2:$F$2000,"reclamação",[1]Manifestações!$B$2:$B$2000,"&gt;=01/01/2024",[1]Manifestações!$B$2:$B$2000,"&lt;01/02/2024")</f>
        <v>0</v>
      </c>
      <c r="Q2" s="9">
        <f>COUNTIFS([1]Manifestações!$F$2:$F$2000,"solicitação",[1]Manifestações!$B$2:$B$2000,"&gt;=01/01/2024",[1]Manifestações!$B$2:$B$2000,"&lt;01/02/2024")</f>
        <v>0</v>
      </c>
      <c r="R2" s="8">
        <f>COUNTIFS([1]Manifestações!$F$2:$F$2000,"sugestão",[1]Manifestações!$B$2:$B$2000,"&gt;=01/01/2024",[1]Manifestações!$B$2:$B$2000,"&lt;01/02/2024")</f>
        <v>0</v>
      </c>
      <c r="S2" s="9">
        <f>COUNTIFS([1]Manifestações!$F$2:$F$2000,"elogio",[1]Manifestações!$B$2:$B$2000,"&gt;=01/01/2024",[1]Manifestações!$B$2:$B$2000,"&lt;01/02/2024")</f>
        <v>0</v>
      </c>
      <c r="T2" s="8">
        <f>COUNTIFS([1]Manifestações!$F$2:$F$2000,"simplifique",[1]Manifestações!$B$2:$B$2000,"&gt;=01/01/2024",[1]Manifestações!$B$2:$B$2000,"&lt;01/02/2024")</f>
        <v>0</v>
      </c>
      <c r="U2" s="9">
        <f>COUNTIFS([1]Manifestações!$F$2:$F$2000,"comunicação",[1]Manifestações!$B$2:$B$2000,"&gt;=01/01/2024",[1]Manifestações!$B$2:$B$2000,"&lt;01/02/2024")</f>
        <v>0</v>
      </c>
      <c r="V2" s="8">
        <f>COUNTIFS([1]Manifestações!$G$2:$G$2000,"Acesso à informação",[1]Manifestações!$B$2:$B$2000,"&gt;=01/01/2024",[1]Manifestações!$B$2:$B$2000,"&lt;01/02/2024")</f>
        <v>0</v>
      </c>
      <c r="W2" s="9">
        <f>COUNTIFS([1]Manifestações!$G$2:$G$2000,"Acesso à informação",[1]Manifestações!$B$2:$B$2000,"&gt;=01/01/2024",[1]Manifestações!$B$2:$B$2000,"&lt;01/02/2024",[1]Manifestações!$L$2:$L$2000,"Finalizada")</f>
        <v>0</v>
      </c>
      <c r="X2" s="9">
        <f>COUNTIFS([1]Manifestações!$F$2:$F$2000,"Atendimento Presencial",[1]Manifestações!$B$2:$B$2000,"&gt;=01/01/2024",[1]Manifestações!$B$2:$B$2000,"&lt;01/02/2024")</f>
        <v>0</v>
      </c>
      <c r="Y2" s="13"/>
      <c r="Z2" s="14">
        <f>COUNTIFS('[1]Atendimentos Telefônicos'!$A$2:$A$2000,"&gt;=01/01/2024",'[1]Atendimentos Telefônicos'!$A$2:$A$2000,"&lt;01/02/2024")</f>
        <v>0</v>
      </c>
      <c r="AA2" s="15">
        <f>SUMIFS('[1]Atendimentos Telefônicos'!$I$2:$I$2000,'[1]Atendimentos Telefônicos'!$A$2:$A$2000,"&gt;=01/01/2024",'[1]Atendimentos Telefônicos'!$A$2:$A$2000,"&lt;01/02/2024")</f>
        <v>0</v>
      </c>
      <c r="AB2" s="13"/>
      <c r="AC2" s="11" t="str">
        <f>IFERROR(AVERAGEIFS([1]Manifestações!$M$2:$M$2000,[1]Manifestações!$A$2:$A$2000,"mail",[1]Manifestações!$M$2:$M$2000,"&gt;=0",[1]Manifestações!$B$2:$B$2000,"&gt;=01/01/2024",[1]Manifestações!$B$2:$B$2000,"&lt;01/02/2024",[1]Manifestações!$F$2:$F$2000, "&lt;&gt;Comunicação")," ")</f>
        <v xml:space="preserve"> </v>
      </c>
      <c r="AD2" s="16" t="str">
        <f>IFERROR(AVERAGEIFS([1]Manifestações!$M$2:$M$2000,[1]Manifestações!$A$2:$A$2000,"ouv",[1]Manifestações!$M$2:$M$2000,"&gt;=0",[1]Manifestações!$B$2:$B$2000,"&gt;=01/01/2024",[1]Manifestações!$B$2:$B$2000,"&lt;01/02/2024",[1]Manifestações!$F$2:$F$2000, "&lt;&gt;Comunicação")," ")</f>
        <v xml:space="preserve"> </v>
      </c>
      <c r="AE2" s="11" t="str">
        <f>IFERROR(AVERAGEIFS([1]Manifestações!$M$2:$M$2000,[1]Manifestações!$A$2:$A$2000,"sic",[1]Manifestações!$M$2:$M$2000,"&gt;=0",[1]Manifestações!$B$2:$B$2000,"&gt;=01/01/2024",[1]Manifestações!$B$2:$B$2000,"&lt;01/02/2024",[1]Manifestações!$F$2:$F$2000, "&lt;&gt;Comunicação")," ")</f>
        <v xml:space="preserve"> </v>
      </c>
      <c r="AF2" s="16" t="str">
        <f>IFERROR(AVERAGEIFS([1]Manifestações!$M$2:$M$2000,[1]Manifestações!$M$2:$M$2000,"&gt;=0",[1]Manifestações!$B$2:$B$2000,"&gt;=01/01/2024",[1]Manifestações!$B$2:$B$2000,"&lt;01/02/2024",[1]Manifestações!$F$2:$F$2000, "&lt;&gt;Comunicação")," ")</f>
        <v xml:space="preserve"> </v>
      </c>
      <c r="AG2" s="15" t="str">
        <f>IFERROR(AA2/Z2, " ")</f>
        <v xml:space="preserve"> </v>
      </c>
      <c r="AH2" s="16" t="str">
        <f>IFERROR(AVERAGEIFS([1]Manifestações!$M$2:$M$2000,[1]Manifestações!$G$2:$G$2000,"Acesso à informação",[1]Manifestações!$M$2:$M$2000,"&gt;=0",[1]Manifestações!$B$2:$B$2000,"&gt;=01/01/2024",[1]Manifestações!$B$2:$B$2000,"&lt;01/02/2024",[1]Manifestações!$F$2:$F$2000, "&lt;&gt;Comunicação")," ")</f>
        <v xml:space="preserve"> </v>
      </c>
      <c r="AI2" s="13"/>
      <c r="AJ2" s="9">
        <f>COUNTIFS([1]Manifestações!$A$2:$A$2000,"mail",[1]Manifestações!$H$2:$H$2000,"física",[1]Manifestações!$B$2:$B$2000,"&gt;=01/01/2024",[1]Manifestações!$B$2:$B$2000,"&lt;01/02/2024")</f>
        <v>0</v>
      </c>
      <c r="AK2" s="8">
        <f>COUNTIFS([1]Manifestações!$A$2:$A$2000,"mail",[1]Manifestações!$H$2:$H$2000,"jurídica",[1]Manifestações!$B$2:$B$2000,"&gt;=01/01/2024",[1]Manifestações!$B$2:$B$2000,"&lt;01/02/2024")</f>
        <v>0</v>
      </c>
      <c r="AL2" s="9">
        <f>COUNTIFS([1]Manifestações!$A$2:$A$2000,"ouv",[1]Manifestações!$H$2:$H$2000,"física",[1]Manifestações!$B$2:$B$2000,"&gt;=01/01/2024",[1]Manifestações!$B$2:$B$2000,"&lt;01/02/2024")</f>
        <v>0</v>
      </c>
      <c r="AM2" s="8">
        <f>COUNTIFS([1]Manifestações!$A$2:$A$2000,"ouv",[1]Manifestações!$H$2:$H$2000,"jurídica",[1]Manifestações!$B$2:$B$2000,"&gt;=01/01/2024",[1]Manifestações!$B$2:$B$2000,"&lt;01/02/2024")</f>
        <v>0</v>
      </c>
      <c r="AN2" s="9">
        <f>COUNTIFS([1]Manifestações!$A$2:$A$2000,"sic",[1]Manifestações!$H$2:$H$2000,"física",[1]Manifestações!$B$2:$B$2000,"&gt;=01/01/2024",[1]Manifestações!$B$2:$B$2000,"&lt;01/02/2024")</f>
        <v>0</v>
      </c>
      <c r="AO2" s="8">
        <f>COUNTIFS([1]Manifestações!$A$2:$A$2000,"sic",[1]Manifestações!$H$2:$H$2000,"jurídica",[1]Manifestações!$B$2:$B$2000,"&gt;=01/01/2024",[1]Manifestações!$B$2:$B$2000,"&lt;01/02/2024")</f>
        <v>0</v>
      </c>
      <c r="AP2" s="9">
        <f>COUNTIFS([1]Manifestações!$A$2:$A$2000,"presencial",[1]Manifestações!$H$2:$H$2000,"física",[1]Manifestações!$B$2:$B$2000,"&gt;=01/01/2024",[1]Manifestações!$B$2:$B$2000,"&lt;01/02/2024")</f>
        <v>0</v>
      </c>
      <c r="AQ2" s="8">
        <f>COUNTIFS([1]Manifestações!$A$2:$A$2000,"presencial",[1]Manifestações!$H$2:$H$2000,"jurídica",[1]Manifestações!$B$2:$B$2000,"&gt;=01/01/2024",[1]Manifestações!$B$2:$B$2000,"&lt;01/02/2024")</f>
        <v>0</v>
      </c>
      <c r="AR2" s="9">
        <f>COUNTIFS([1]Manifestações!$H$2:$H$2000,"física",[1]Manifestações!$B$2:$B$2000,"&gt;=01/01/2024",[1]Manifestações!$B$2:$B$2000,"&lt;01/02/2024")</f>
        <v>0</v>
      </c>
      <c r="AS2" s="10">
        <f>COUNTIFS([1]Manifestações!$H$2:$H$2000,"jurídica",[1]Manifestações!$B$2:$B$2000,"&gt;=01/01/2024",[1]Manifestações!$B$2:$B$2000,"&lt;01/02/2024")</f>
        <v>0</v>
      </c>
      <c r="AT2" s="9">
        <f>COUNTIFS('[1]Atendimentos Telefônicos'!$E$2:$E$2000,"Física",'[1]Atendimentos Telefônicos'!$A$2:$A$2000,"&gt;=01/01/2024",'[1]Atendimentos Telefônicos'!$A$2:$A$2000,"&lt;01/02/2024")</f>
        <v>0</v>
      </c>
      <c r="AU2" s="8">
        <f>COUNTIFS('[1]Atendimentos Telefônicos'!$E$2:$E$2000,"Jurídica",'[1]Atendimentos Telefônicos'!$A$2:$A$2000,"&gt;=01/01/2024",'[1]Atendimentos Telefônicos'!$A$2:$A$2000,"&lt;01/02/2024")</f>
        <v>0</v>
      </c>
      <c r="AV2" s="9">
        <f t="shared" ref="AV2:AV18" si="1">SUM(AR2,AT2)</f>
        <v>0</v>
      </c>
      <c r="AW2" s="11" t="str">
        <f t="shared" ref="AW2:AW18" si="2">IF(SUM(AV2,AX2)&gt;0,AV2*100/(SUM(AV2,AX2))," ")</f>
        <v xml:space="preserve"> </v>
      </c>
      <c r="AX2" s="10">
        <f t="shared" ref="AX2:AX18" si="3">SUM(AS2,AU2)</f>
        <v>0</v>
      </c>
      <c r="AY2" s="10" t="str">
        <f t="shared" ref="AY2:AY18" si="4">IF(SUM(AV2,AX2)&gt;0,AX2*100/(SUM(AV2,AX2))," ")</f>
        <v xml:space="preserve"> </v>
      </c>
      <c r="AZ2" s="13"/>
      <c r="BA2" s="9">
        <f>COUNTIFS([1]Manifestações!$A$2:$A$2000,"mail",[1]Manifestações!$I$2:$I$2000,"Feminino",[1]Manifestações!$B$2:$B$2000,"&gt;=01/01/2024",[1]Manifestações!$B$2:$B$2000,"&lt;01/02/2024")</f>
        <v>0</v>
      </c>
      <c r="BB2" s="8">
        <f>COUNTIFS([1]Manifestações!$A$2:$A$2000,"mail",[1]Manifestações!$I$2:$I$2000,"Masculino",[1]Manifestações!$B$2:$B$2000,"&gt;=01/01/2024",[1]Manifestações!$B$2:$B$2000,"&lt;01/02/2024")</f>
        <v>0</v>
      </c>
      <c r="BC2" s="9">
        <f>COUNTIFS([1]Manifestações!$A$2:$A$2000,"ouv",[1]Manifestações!$I$2:$I$2000,"Feminino",[1]Manifestações!$B$2:$B$2000,"&gt;=01/01/2024",[1]Manifestações!$B$2:$B$2000,"&lt;01/02/2024")</f>
        <v>0</v>
      </c>
      <c r="BD2" s="8">
        <f>COUNTIFS([1]Manifestações!$A$2:$A$2000,"ouv",[1]Manifestações!$I$2:$I$2000,"Masculino",[1]Manifestações!$B$2:$B$2000,"&gt;=01/01/2024",[1]Manifestações!$B$2:$B$2000,"&lt;01/02/2024")</f>
        <v>0</v>
      </c>
      <c r="BE2" s="9">
        <f>COUNTIFS([1]Manifestações!$A$2:$A$2000,"sic",[1]Manifestações!$I$2:$I$2000,"Feminino",[1]Manifestações!$B$2:$B$2000,"&gt;=01/01/2024",[1]Manifestações!$B$2:$B$2000,"&lt;01/02/2024")</f>
        <v>0</v>
      </c>
      <c r="BF2" s="8">
        <f>COUNTIFS([1]Manifestações!$A$2:$A$2000,"sic",[1]Manifestações!$I$2:$I$2000,"Masculino",[1]Manifestações!$B$2:$B$2000,"&gt;=01/01/2024",[1]Manifestações!$B$2:$B$2000,"&lt;01/02/2024")</f>
        <v>0</v>
      </c>
      <c r="BG2" s="9">
        <f>COUNTIFS([1]Manifestações!$A$2:$A$2000,"presencial",[1]Manifestações!$I$2:$I$2000,"Feminino",[1]Manifestações!$B$2:$B$2000,"&gt;=01/01/2024",[1]Manifestações!$B$2:$B$2000,"&lt;01/02/2024")</f>
        <v>0</v>
      </c>
      <c r="BH2" s="8">
        <f>COUNTIFS([1]Manifestações!$A$2:$A$2000,"presencial",[1]Manifestações!$I$2:$I$2000,"Masculino",[1]Manifestações!$B$2:$B$2000,"&gt;=01/01/2024",[1]Manifestações!$B$2:$B$2000,"&lt;01/02/2024")</f>
        <v>0</v>
      </c>
      <c r="BI2" s="9">
        <f>COUNTIFS([1]Manifestações!$I$2:$I$2000,"Feminino",[1]Manifestações!$B$2:$B$2000,"&gt;=01/01/2024",[1]Manifestações!$B$2:$B$2000,"&lt;01/02/2024")</f>
        <v>0</v>
      </c>
      <c r="BJ2" s="10">
        <f>COUNTIFS([1]Manifestações!$I$2:$I$2000,"Masculino",[1]Manifestações!$B$2:$B$2000,"&gt;=01/01/2024",[1]Manifestações!$B$2:$B$2000,"&lt;01/02/2024")</f>
        <v>0</v>
      </c>
      <c r="BK2" s="9">
        <f>COUNTIFS('[1]Atendimentos Telefônicos'!$F$2:$F$2000,"Feminino",'[1]Atendimentos Telefônicos'!$A$2:$A$2000,"&gt;=01/01/2024",'[1]Atendimentos Telefônicos'!$A$2:$A$2000,"&lt;01/02/2024")</f>
        <v>0</v>
      </c>
      <c r="BL2" s="8">
        <f>COUNTIFS('[1]Atendimentos Telefônicos'!$F$2:$F$2000,"Masculino",'[1]Atendimentos Telefônicos'!$A$2:$A$2000,"&gt;=01/01/2024",'[1]Atendimentos Telefônicos'!$A$2:$A$2000,"&lt;01/02/2024")</f>
        <v>0</v>
      </c>
      <c r="BM2" s="9">
        <f t="shared" ref="BM2:BM18" si="5">SUM(BI2,BK2)</f>
        <v>0</v>
      </c>
      <c r="BN2" s="11" t="str">
        <f>IF(SUM(BM2,BO2)&gt;0,BM2*100/(SUM(BM2,BO2))," ")</f>
        <v xml:space="preserve"> </v>
      </c>
      <c r="BO2" s="10">
        <f t="shared" ref="BO2:BO18" si="6">SUM(BJ2,BL2)</f>
        <v>0</v>
      </c>
      <c r="BP2" s="10" t="str">
        <f t="shared" ref="BP2:BP18" si="7">IF(SUM(BM2,BO2)&gt;0,BO2*100/(SUM(BM2,BO2))," ")</f>
        <v xml:space="preserve"> </v>
      </c>
      <c r="BQ2" s="17"/>
      <c r="BR2" s="9">
        <f>COUNTIFS([1]Manifestações!$A$2:$A$2000,"mail",[1]Manifestações!$F$2:$F$2000,"solicitação",[1]Manifestações!$B$2:$B$2000,"&gt;=01/01/2024",[1]Manifestações!$B$2:$B$2000,"&lt;01/02/2024")</f>
        <v>0</v>
      </c>
      <c r="BS2" s="8">
        <f>COUNTIFS([1]Manifestações!$A$2:$A$2000,"mail",[1]Manifestações!$F$2:$F$2000,"reclamação",[1]Manifestações!$B$2:$B$2000,"&gt;=01/01/2024",[1]Manifestações!$B$2:$B$2000,"&lt;01/02/2024")</f>
        <v>0</v>
      </c>
      <c r="BT2" s="9">
        <f>COUNTIFS([1]Manifestações!$A$2:$A$2000,"mail",[1]Manifestações!$F$2:$F$2000,"denúncia",[1]Manifestações!$B$2:$B$2000,"&gt;=01/01/2024",[1]Manifestações!$B$2:$B$2000,"&lt;01/02/2024")</f>
        <v>0</v>
      </c>
      <c r="BU2" s="8">
        <f>COUNTIFS([1]Manifestações!$A$2:$A$2000,"mail",[1]Manifestações!$F$2:$F$2000,"sugestão",[1]Manifestações!$B$2:$B$2000,"&gt;=01/01/2024",[1]Manifestações!$B$2:$B$2000,"&lt;01/02/2024")</f>
        <v>0</v>
      </c>
      <c r="BV2" s="9">
        <f>COUNTIFS([1]Manifestações!$A$2:$A$2000,"mail",[1]Manifestações!$F$2:$F$2000,"elogio",[1]Manifestações!$B$2:$B$2000,"&gt;=01/01/2024",[1]Manifestações!$B$2:$B$2000,"&lt;01/02/2024")</f>
        <v>0</v>
      </c>
      <c r="BW2" s="8">
        <f>COUNTIFS([1]Manifestações!$A$2:$A$2000,"mail",[1]Manifestações!$F$2:$F$2000,"simplifique",[1]Manifestações!$B$2:$B$2000,"&gt;=01/01/2024",[1]Manifestações!$B$2:$B$2000,"&lt;01/02/2024")</f>
        <v>0</v>
      </c>
      <c r="BX2" s="9">
        <f>COUNTIFS([1]Manifestações!$A$2:$A$2000,"mail",[1]Manifestações!$D$2:$D$2000,"&lt;&gt;*Fale*",[1]Manifestações!$D$2:$D$2000,"&lt;&gt;*Redes*",[1]Manifestações!$B$2:$B$2000,"&gt;=01/01/2024",[1]Manifestações!$B$2:$B$2000,"&lt;01/02/2024")</f>
        <v>0</v>
      </c>
      <c r="BY2" s="9">
        <f>COUNTIFS([1]Manifestações!$A$2:$A$2000,"mail",[1]Manifestações!$D$2:$D$2000,"*Redes*",[1]Manifestações!$B$2:$B$2000,"&gt;=01/01/2024",[1]Manifestações!$B$2:$B$2000,"&lt;01/02/2024")</f>
        <v>0</v>
      </c>
      <c r="BZ2" s="9">
        <f>COUNTIFS([1]Manifestações!$A$2:$A$2000,"mail",[1]Manifestações!$D$2:$D$2000,"*Fale*",[1]Manifestações!$B$2:$B$2000,"&gt;=01/01/2024",[1]Manifestações!$B$2:$B$2000,"&lt;01/02/2024")</f>
        <v>0</v>
      </c>
      <c r="CA2" s="8">
        <f>COUNTIFS([1]Manifestações!$A$2:$A$2000,"mail",[1]Manifestações!$F$2:$F$2000,"comunicação",[1]Manifestações!$B$2:$B$2000,"&gt;=01/01/2024",[1]Manifestações!$B$2:$B$2000,"&lt;01/02/2024")</f>
        <v>0</v>
      </c>
      <c r="CB2" s="18"/>
      <c r="CC2" s="19"/>
      <c r="CD2" s="9">
        <f>COUNTIFS([1]Manifestações!$A$2:$A$2000,"ouv",[1]Manifestações!$F$2:$F$2000,"denúncia",[1]Manifestações!$B$2:$B$2000,"&gt;=01/01/2024",[1]Manifestações!$B$2:$B$2000,"&lt;01/02/2024")</f>
        <v>0</v>
      </c>
      <c r="CE2" s="8">
        <f>COUNTIFS([1]Manifestações!$A$2:$A$2000,"ouv",[1]Manifestações!$F$2:$F$2000,"reclamação",[1]Manifestações!$B$2:$B$2000,"&gt;=01/01/2024",[1]Manifestações!$B$2:$B$2000,"&lt;01/02/2024")</f>
        <v>0</v>
      </c>
      <c r="CF2" s="9">
        <f>COUNTIFS([1]Manifestações!$A$2:$A$2000,"ouv",[1]Manifestações!$F$2:$F$2000,"solicitação",[1]Manifestações!$B$2:$B$2000,"&gt;=01/01/2024",[1]Manifestações!$B$2:$B$2000,"&lt;01/02/2024")</f>
        <v>0</v>
      </c>
      <c r="CG2" s="8">
        <f>COUNTIFS([1]Manifestações!$A$2:$A$2000,"ouv",[1]Manifestações!$F$2:$F$2000,"sugestão",[1]Manifestações!$B$2:$B$2000,"&gt;=01/01/2024",[1]Manifestações!$B$2:$B$2000,"&lt;01/02/2024")</f>
        <v>0</v>
      </c>
      <c r="CH2" s="9">
        <f>COUNTIFS([1]Manifestações!$A$2:$A$2000,"ouv",[1]Manifestações!$F$2:$F$2000,"elogio",[1]Manifestações!$B$2:$B$2000,"&gt;=01/01/2024",[1]Manifestações!$B$2:$B$2000,"&lt;01/02/2024")</f>
        <v>0</v>
      </c>
      <c r="CI2" s="8">
        <f>COUNTIFS([1]Manifestações!$A$2:$A$2000,"ouv",[1]Manifestações!$F$2:$F$2000,"comunicação",[1]Manifestações!$B$2:$B$2000,"&gt;=01/01/2024",[1]Manifestações!$B$2:$B$2000,"&lt;01/02/2024")</f>
        <v>0</v>
      </c>
      <c r="CJ2" s="14">
        <f>COUNTIFS([1]Manifestações!$A$2:$A$2000,"ouv",[1]Manifestações!$F$2:$F$2000,"simplifique",[1]Manifestações!$B$2:$B$2000,"&gt;=01/01/2024",[1]Manifestações!$B$2:$B$2000,"&lt;01/02/2024")</f>
        <v>0</v>
      </c>
      <c r="CK2" s="20"/>
    </row>
    <row r="3" spans="1:89" ht="14.4" customHeight="1" x14ac:dyDescent="0.3">
      <c r="A3" s="7" t="s">
        <v>68</v>
      </c>
      <c r="B3" s="8">
        <f>COUNTIFS([1]Manifestações!$A$2:$A$2000,"mail",[1]Manifestações!$B$2:$B$2000,"&gt;=01/02/2024",[1]Manifestações!$B$2:$B$2000,"&lt;01/03/2024",[1]Manifestações!$F$2:$F$2000, "&lt;&gt;Comunicação")</f>
        <v>0</v>
      </c>
      <c r="C3" s="9">
        <f>COUNTIFS([1]Manifestações!$A$2:$A$2000,"mail",[1]Manifestações!$B$2:$B$2000,"&gt;=01/02/2024",[1]Manifestações!$B$2:$B$2000,"&lt;01/03/2024",[1]Manifestações!$L$2:$L$2000,"Finalizada",[1]Manifestações!$F$2:$F$2000, "&lt;&gt;Comunicação")</f>
        <v>0</v>
      </c>
      <c r="D3" s="8">
        <f>COUNTIFS([1]Manifestações!$A$2:$A$2000,"ouv",[1]Manifestações!$B$2:$B$2000,"&gt;=01/02/2024",[1]Manifestações!$B$2:$B$2000,"&lt;01/03/2024",[1]Manifestações!$F$2:$F$2000, "&lt;&gt;Comunicação")</f>
        <v>0</v>
      </c>
      <c r="E3" s="9">
        <f>COUNTIFS([1]Manifestações!$A$2:$A$2000,"ouv",[1]Manifestações!$B$2:$B$2000,"&gt;=01/02/2024",[1]Manifestações!$B$2:$B$2000,"&lt;01/03/2024",[1]Manifestações!$L$2:$L$2000,"Finalizada",[1]Manifestações!$F$2:$F$2000, "&lt;&gt;Comunicação")</f>
        <v>0</v>
      </c>
      <c r="F3" s="8">
        <f>COUNTIFS([1]Manifestações!$A$2:$A$2000,"sic",[1]Manifestações!$B$2:$B$2000,"&gt;=01/02/2024",[1]Manifestações!$B$2:$B$2000,"&lt;01/03/2024")</f>
        <v>0</v>
      </c>
      <c r="G3" s="9">
        <f>COUNTIFS([1]Manifestações!$A$2:$A$2000,"sic",[1]Manifestações!$B$2:$B$2000,"&gt;=01/02/2024",[1]Manifestações!$B$2:$B$2000,"&lt;01/03/2024",[1]Manifestações!$L$2:$L$2000,"Finalizada")</f>
        <v>0</v>
      </c>
      <c r="H3" s="8">
        <f t="shared" si="0"/>
        <v>0</v>
      </c>
      <c r="I3" s="9">
        <f t="shared" si="0"/>
        <v>0</v>
      </c>
      <c r="J3" s="10" t="str">
        <f>IF(B3&gt;0,C3/B3*100," ")</f>
        <v xml:space="preserve"> </v>
      </c>
      <c r="K3" s="11" t="str">
        <f>IF(D3&gt;0,E3/D3*100," ")</f>
        <v xml:space="preserve"> </v>
      </c>
      <c r="L3" s="10" t="str">
        <f>IF(F3&gt;0,G3/F3*100," ")</f>
        <v xml:space="preserve"> </v>
      </c>
      <c r="M3" s="11" t="str">
        <f>IF(I3&gt;0,SUM(C3,E3,G3)/SUM(B3,D3,F3)*100," ")</f>
        <v xml:space="preserve"> </v>
      </c>
      <c r="N3" s="21"/>
      <c r="O3" s="9">
        <f>COUNTIFS([1]Manifestações!$F$2:$F$2000,"denúncia",[1]Manifestações!$B$2:$B$2000,"&gt;=01/02/2024",[1]Manifestações!$B$2:$B$2000,"&lt;01/03/2024")</f>
        <v>0</v>
      </c>
      <c r="P3" s="8">
        <f>COUNTIFS([1]Manifestações!$F$2:$F$2000,"reclamação",[1]Manifestações!$B$2:$B$2000,"&gt;=01/02/2024",[1]Manifestações!$B$2:$B$2000,"&lt;01/03/2024")</f>
        <v>0</v>
      </c>
      <c r="Q3" s="9">
        <f>COUNTIFS([1]Manifestações!$F$2:$F$2000,"solicitação",[1]Manifestações!$B$2:$B$2000,"&gt;=01/02/2024",[1]Manifestações!$B$2:$B$2000,"&lt;01/03/2024")</f>
        <v>0</v>
      </c>
      <c r="R3" s="8">
        <f>COUNTIFS([1]Manifestações!$F$2:$F$2000,"sugestão",[1]Manifestações!$B$2:$B$2000,"&gt;=01/02/2024",[1]Manifestações!$B$2:$B$2000,"&lt;01/03/2024")</f>
        <v>0</v>
      </c>
      <c r="S3" s="9">
        <f>COUNTIFS([1]Manifestações!$F$2:$F$2000,"elogio",[1]Manifestações!$B$2:$B$2000,"&gt;=01/02/2024",[1]Manifestações!$B$2:$B$2000,"&lt;01/03/2024")</f>
        <v>0</v>
      </c>
      <c r="T3" s="8">
        <f>COUNTIFS([1]Manifestações!$F$2:$F$2000,"simplifique",[1]Manifestações!$B$2:$B$2000,"&gt;=01/02/2024",[1]Manifestações!$B$2:$B$2000,"&lt;01/03/2024")</f>
        <v>0</v>
      </c>
      <c r="U3" s="9">
        <f>COUNTIFS([1]Manifestações!$F$2:$F$2000,"comunicação",[1]Manifestações!$B$2:$B$2000,"&gt;=01/02/2024",[1]Manifestações!$B$2:$B$2000,"&lt;01/03/2024")</f>
        <v>0</v>
      </c>
      <c r="V3" s="8">
        <f>COUNTIFS([1]Manifestações!$G$2:$G$2000,"Acesso à informação",[1]Manifestações!$B$2:$B$2000,"&gt;=01/02/2024",[1]Manifestações!$B$2:$B$2000,"&lt;01/03/2024")</f>
        <v>0</v>
      </c>
      <c r="W3" s="9">
        <f>COUNTIFS([1]Manifestações!$G$2:$G$2000,"Acesso à informação",[1]Manifestações!$B$2:$B$2000,"&gt;=01/02/2024",[1]Manifestações!$B$2:$B$2000,"&lt;01/03/2024",[1]Manifestações!$L$2:$L$2000,"Finalizada")</f>
        <v>0</v>
      </c>
      <c r="X3" s="9">
        <f>COUNTIFS([1]Manifestações!$F$2:$F$2000,"Atendimento Presencial",[1]Manifestações!$B$2:$B$2000,"&gt;=01/02/2024",[1]Manifestações!$B$2:$B$2000,"&lt;01/03/2024")</f>
        <v>0</v>
      </c>
      <c r="Y3" s="22"/>
      <c r="Z3" s="14">
        <f>COUNTIFS('[1]Atendimentos Telefônicos'!$A$2:$A$2000,"&gt;=01/02/2024",'[1]Atendimentos Telefônicos'!$A$2:$A$2000,"&lt;01/03/2024")</f>
        <v>0</v>
      </c>
      <c r="AA3" s="15">
        <f>SUMIFS('[1]Atendimentos Telefônicos'!$I$2:$I$2000,'[1]Atendimentos Telefônicos'!$A$2:$A$2000,"&gt;=01/02/2024",'[1]Atendimentos Telefônicos'!$A$2:$A$2000,"&lt;01/03/2024")</f>
        <v>0</v>
      </c>
      <c r="AB3" s="22"/>
      <c r="AC3" s="11" t="str">
        <f>IFERROR(AVERAGEIFS([1]Manifestações!$M$2:$M$2000,[1]Manifestações!$A$2:$A$2000,"mail",[1]Manifestações!$M$2:$M$2000,"&gt;=0",[1]Manifestações!$B$2:$B$2000,"&gt;=01/02/2024",[1]Manifestações!$B$2:$B$2000,"&lt;01/03/2024",[1]Manifestações!$F$2:$F$2000, "&lt;&gt;Comunicação")," ")</f>
        <v xml:space="preserve"> </v>
      </c>
      <c r="AD3" s="16" t="str">
        <f>IFERROR(AVERAGEIFS([1]Manifestações!$M$2:$M$2000,[1]Manifestações!$A$2:$A$2000,"ouv",[1]Manifestações!$M$2:$M$2000,"&gt;=0",[1]Manifestações!$B$2:$B$2000,"&gt;=01/02/2024",[1]Manifestações!$B$2:$B$2000,"&lt;01/03/2024",[1]Manifestações!$F$2:$F$2000, "&lt;&gt;Comunicação")," ")</f>
        <v xml:space="preserve"> </v>
      </c>
      <c r="AE3" s="11" t="str">
        <f>IFERROR(AVERAGEIFS([1]Manifestações!$M$2:$M$2000,[1]Manifestações!$A$2:$A$2000,"sic",[1]Manifestações!$M$2:$M$2000,"&gt;=0",[1]Manifestações!$B$2:$B$2000,"&gt;=01/02/2024",[1]Manifestações!$B$2:$B$2000,"&lt;01/03/2024",[1]Manifestações!$F$2:$F$2000, "&lt;&gt;Comunicação")," ")</f>
        <v xml:space="preserve"> </v>
      </c>
      <c r="AF3" s="16" t="str">
        <f>IFERROR(AVERAGEIFS([1]Manifestações!$M$2:$M$2000,[1]Manifestações!$M$2:$M$2000,"&gt;=0",[1]Manifestações!$B$2:$B$2000,"&gt;=01/02/2024",[1]Manifestações!$B$2:$B$2000,"&lt;01/03/2024",[1]Manifestações!$F$2:$F$2000, "&lt;&gt;Comunicação")," ")</f>
        <v xml:space="preserve"> </v>
      </c>
      <c r="AG3" s="15" t="str">
        <f>IFERROR(AA3/Z3, " ")</f>
        <v xml:space="preserve"> </v>
      </c>
      <c r="AH3" s="16" t="str">
        <f>IFERROR(AVERAGEIFS([1]Manifestações!$M$2:$M$2000,[1]Manifestações!$G$2:$G$2000,"Acesso à informação",[1]Manifestações!$M$2:$M$2000,"&gt;=0",[1]Manifestações!$B$2:$B$2000,"&gt;=01/02/2024",[1]Manifestações!$B$2:$B$2000,"&lt;01/03/2024",[1]Manifestações!$F$2:$F$2000, "&lt;&gt;Comunicação")," ")</f>
        <v xml:space="preserve"> </v>
      </c>
      <c r="AI3" s="22"/>
      <c r="AJ3" s="9">
        <f>COUNTIFS([1]Manifestações!$A$2:$A$2000,"mail",[1]Manifestações!$H$2:$H$2000,"física",[1]Manifestações!$B$2:$B$2000,"&gt;=01/02/2024",[1]Manifestações!$B$2:$B$2000,"&lt;01/03/2024")</f>
        <v>0</v>
      </c>
      <c r="AK3" s="8">
        <f>COUNTIFS([1]Manifestações!$A$2:$A$2000,"mail",[1]Manifestações!$H$2:$H$2000,"jurídica",[1]Manifestações!$B$2:$B$2000,"&gt;=01/02/2024",[1]Manifestações!$B$2:$B$2000,"&lt;01/03/2024")</f>
        <v>0</v>
      </c>
      <c r="AL3" s="9">
        <f>COUNTIFS([1]Manifestações!$A$2:$A$2000,"ouv",[1]Manifestações!$H$2:$H$2000,"física",[1]Manifestações!$B$2:$B$2000,"&gt;=01/02/2024",[1]Manifestações!$B$2:$B$2000,"&lt;01/03/2024")</f>
        <v>0</v>
      </c>
      <c r="AM3" s="8">
        <f>COUNTIFS([1]Manifestações!$A$2:$A$2000,"ouv",[1]Manifestações!$H$2:$H$2000,"jurídica",[1]Manifestações!$B$2:$B$2000,"&gt;=01/02/2024",[1]Manifestações!$B$2:$B$2000,"&lt;01/03/2024")</f>
        <v>0</v>
      </c>
      <c r="AN3" s="9">
        <f>COUNTIFS([1]Manifestações!$A$2:$A$2000,"sic",[1]Manifestações!$H$2:$H$2000,"física",[1]Manifestações!$B$2:$B$2000,"&gt;=01/02/2024",[1]Manifestações!$B$2:$B$2000,"&lt;01/03/2024")</f>
        <v>0</v>
      </c>
      <c r="AO3" s="8">
        <f>COUNTIFS([1]Manifestações!$A$2:$A$2000,"sic",[1]Manifestações!$H$2:$H$2000,"jurídica",[1]Manifestações!$B$2:$B$2000,"&gt;=01/02/2024",[1]Manifestações!$B$2:$B$2000,"&lt;01/03/2024")</f>
        <v>0</v>
      </c>
      <c r="AP3" s="9">
        <f>COUNTIFS([1]Manifestações!$A$2:$A$2000,"presencial",[1]Manifestações!$H$2:$H$2000,"física",[1]Manifestações!$B$2:$B$2000,"&gt;=01/02/2024",[1]Manifestações!$B$2:$B$2000,"&lt;01/03/2024")</f>
        <v>0</v>
      </c>
      <c r="AQ3" s="8">
        <f>COUNTIFS([1]Manifestações!$A$2:$A$2000,"presencial",[1]Manifestações!$H$2:$H$2000,"jurídica",[1]Manifestações!$B$2:$B$2000,"&gt;=01/02/2024",[1]Manifestações!$B$2:$B$2000,"&lt;01/03/2024")</f>
        <v>0</v>
      </c>
      <c r="AR3" s="9">
        <f>COUNTIFS([1]Manifestações!$H$2:$H$2000,"física",[1]Manifestações!$B$2:$B$2000,"&gt;=01/02/2024",[1]Manifestações!$B$2:$B$2000,"&lt;01/03/2024")</f>
        <v>0</v>
      </c>
      <c r="AS3" s="10">
        <f>COUNTIFS([1]Manifestações!$H$2:$H$2000,"jurídica",[1]Manifestações!$B$2:$B$2000,"&gt;=01/02/2024",[1]Manifestações!$B$2:$B$2000,"&lt;01/03/2024")</f>
        <v>0</v>
      </c>
      <c r="AT3" s="9">
        <f>COUNTIFS('[1]Atendimentos Telefônicos'!$E$2:$E$2000,"Física",'[1]Atendimentos Telefônicos'!$A$2:$A$2000,"&gt;=01/02/2024",'[1]Atendimentos Telefônicos'!$A$2:$A$2000,"&lt;01/03/2024")</f>
        <v>0</v>
      </c>
      <c r="AU3" s="8">
        <f>COUNTIFS('[1]Atendimentos Telefônicos'!$E$2:$E$2000,"Jurídica",'[1]Atendimentos Telefônicos'!$A$2:$A$2000,"&gt;=01/02/2024",'[1]Atendimentos Telefônicos'!$A$2:$A$2000,"&lt;01/03/2024")</f>
        <v>0</v>
      </c>
      <c r="AV3" s="9">
        <f t="shared" si="1"/>
        <v>0</v>
      </c>
      <c r="AW3" s="11" t="str">
        <f t="shared" si="2"/>
        <v xml:space="preserve"> </v>
      </c>
      <c r="AX3" s="10">
        <f t="shared" si="3"/>
        <v>0</v>
      </c>
      <c r="AY3" s="10" t="str">
        <f t="shared" si="4"/>
        <v xml:space="preserve"> </v>
      </c>
      <c r="AZ3" s="22"/>
      <c r="BA3" s="9">
        <f>COUNTIFS([1]Manifestações!$A$2:$A$2000,"mail",[1]Manifestações!$I$2:$I$2000,"Feminino",[1]Manifestações!$B$2:$B$2000,"&gt;=01/02/2024",[1]Manifestações!$B$2:$B$2000,"&lt;01/03/2024")</f>
        <v>0</v>
      </c>
      <c r="BB3" s="8">
        <f>COUNTIFS([1]Manifestações!$A$2:$A$2000,"mail",[1]Manifestações!$I$2:$I$2000,"Masculino",[1]Manifestações!$B$2:$B$2000,"&gt;=01/02/2024",[1]Manifestações!$B$2:$B$2000,"&lt;01/03/2024")</f>
        <v>0</v>
      </c>
      <c r="BC3" s="9">
        <f>COUNTIFS([1]Manifestações!$A$2:$A$2000,"ouv",[1]Manifestações!$I$2:$I$2000,"Feminino",[1]Manifestações!$B$2:$B$2000,"&gt;=01/02/2024",[1]Manifestações!$B$2:$B$2000,"&lt;01/03/2024")</f>
        <v>0</v>
      </c>
      <c r="BD3" s="8">
        <f>COUNTIFS([1]Manifestações!$A$2:$A$2000,"ouv",[1]Manifestações!$I$2:$I$2000,"Masculino",[1]Manifestações!$B$2:$B$2000,"&gt;=01/02/2024",[1]Manifestações!$B$2:$B$2000,"&lt;01/03/2024")</f>
        <v>0</v>
      </c>
      <c r="BE3" s="9">
        <f>COUNTIFS([1]Manifestações!$A$2:$A$2000,"sic",[1]Manifestações!$I$2:$I$2000,"Feminino",[1]Manifestações!$B$2:$B$2000,"&gt;=01/02/2024",[1]Manifestações!$B$2:$B$2000,"&lt;01/03/2024")</f>
        <v>0</v>
      </c>
      <c r="BF3" s="8">
        <f>COUNTIFS([1]Manifestações!$A$2:$A$2000,"sic",[1]Manifestações!$I$2:$I$2000,"Masculino",[1]Manifestações!$B$2:$B$2000,"&gt;=01/02/2024",[1]Manifestações!$B$2:$B$2000,"&lt;01/03/2024")</f>
        <v>0</v>
      </c>
      <c r="BG3" s="9">
        <f>COUNTIFS([1]Manifestações!$A$2:$A$2000,"presencial",[1]Manifestações!$I$2:$I$2000,"Feminino",[1]Manifestações!$B$2:$B$2000,"&gt;=01/02/2024",[1]Manifestações!$B$2:$B$2000,"&lt;01/03/2024")</f>
        <v>0</v>
      </c>
      <c r="BH3" s="8">
        <f>COUNTIFS([1]Manifestações!$A$2:$A$2000,"presencial",[1]Manifestações!$I$2:$I$2000,"Masculino",[1]Manifestações!$B$2:$B$2000,"&gt;=01/02/2024",[1]Manifestações!$B$2:$B$2000,"&lt;01/03/2024")</f>
        <v>0</v>
      </c>
      <c r="BI3" s="9">
        <f>COUNTIFS([1]Manifestações!$I$2:$I$2000,"Feminino",[1]Manifestações!$B$2:$B$2000,"&gt;=01/02/2024",[1]Manifestações!$B$2:$B$2000,"&lt;01/03/2024")</f>
        <v>0</v>
      </c>
      <c r="BJ3" s="10">
        <f>COUNTIFS([1]Manifestações!$I$2:$I$2000,"Masculino",[1]Manifestações!$B$2:$B$2000,"&gt;=01/02/2024",[1]Manifestações!$B$2:$B$2000,"&lt;01/03/2024")</f>
        <v>0</v>
      </c>
      <c r="BK3" s="9">
        <f>COUNTIFS('[1]Atendimentos Telefônicos'!$F$2:$F$2000,"Feminino",'[1]Atendimentos Telefônicos'!$A$2:$A$2000,"&gt;=01/02/2024",'[1]Atendimentos Telefônicos'!$A$2:$A$2000,"&lt;01/03/2024")</f>
        <v>0</v>
      </c>
      <c r="BL3" s="8">
        <f>COUNTIFS('[1]Atendimentos Telefônicos'!$F$2:$F$2000,"Masculino",'[1]Atendimentos Telefônicos'!$A$2:$A$2000,"&gt;=01/02/2024",'[1]Atendimentos Telefônicos'!$A$2:$A$2000,"&lt;01/03/2024")</f>
        <v>0</v>
      </c>
      <c r="BM3" s="9">
        <f t="shared" si="5"/>
        <v>0</v>
      </c>
      <c r="BN3" s="11" t="str">
        <f t="shared" ref="BN3:BN11" si="8">IF(SUM(BM3,BO3)&gt;0,BM3*100/(SUM(BM3,BO3))," ")</f>
        <v xml:space="preserve"> </v>
      </c>
      <c r="BO3" s="10">
        <f t="shared" si="6"/>
        <v>0</v>
      </c>
      <c r="BP3" s="10" t="str">
        <f t="shared" si="7"/>
        <v xml:space="preserve"> </v>
      </c>
      <c r="BQ3" s="23"/>
      <c r="BR3" s="9">
        <f>COUNTIFS([1]Manifestações!$A$2:$A$2000,"mail",[1]Manifestações!$F$2:$F$2000,"solicitação",[1]Manifestações!$B$2:$B$2000,"&gt;=01/02/2024",[1]Manifestações!$B$2:$B$2000,"&lt;01/03/2024")</f>
        <v>0</v>
      </c>
      <c r="BS3" s="8">
        <f>COUNTIFS([1]Manifestações!$A$2:$A$2000,"mail",[1]Manifestações!$F$2:$F$2000,"reclamação",[1]Manifestações!$B$2:$B$2000,"&gt;=01/02/2024",[1]Manifestações!$B$2:$B$2000,"&lt;01/03/2024")</f>
        <v>0</v>
      </c>
      <c r="BT3" s="9">
        <f>COUNTIFS([1]Manifestações!$A$2:$A$2000,"mail",[1]Manifestações!$F$2:$F$2000,"denúncia",[1]Manifestações!$B$2:$B$2000,"&gt;=01/02/2024",[1]Manifestações!$B$2:$B$2000,"&lt;01/03/2024")</f>
        <v>0</v>
      </c>
      <c r="BU3" s="8">
        <f>COUNTIFS([1]Manifestações!$A$2:$A$2000,"mail",[1]Manifestações!$F$2:$F$2000,"sugestão",[1]Manifestações!$B$2:$B$2000,"&gt;=01/02/2024",[1]Manifestações!$B$2:$B$2000,"&lt;01/03/2024")</f>
        <v>0</v>
      </c>
      <c r="BV3" s="9">
        <f>COUNTIFS([1]Manifestações!$A$2:$A$2000,"mail",[1]Manifestações!$F$2:$F$2000,"elogio",[1]Manifestações!$B$2:$B$2000,"&gt;=01/02/2024",[1]Manifestações!$B$2:$B$2000,"&lt;01/03/2024")</f>
        <v>0</v>
      </c>
      <c r="BW3" s="8">
        <f>COUNTIFS([1]Manifestações!$A$2:$A$2000,"mail",[1]Manifestações!$F$2:$F$2000,"simplifique",[1]Manifestações!$B$2:$B$2000,"&gt;=01/02/2024",[1]Manifestações!$B$2:$B$2000,"&lt;01/03/2024")</f>
        <v>0</v>
      </c>
      <c r="BX3" s="9">
        <f>COUNTIFS([1]Manifestações!$A$2:$A$2000,"mail",[1]Manifestações!$D$2:$D$2000,"&lt;&gt;*Fale*",[1]Manifestações!$D$2:$D$2000,"&lt;&gt;*Redes*",[1]Manifestações!$B$2:$B$2000,"&gt;=01/02/2024",[1]Manifestações!$B$2:$B$2000,"&lt;01/03/2024")</f>
        <v>0</v>
      </c>
      <c r="BY3" s="9">
        <f>COUNTIFS([1]Manifestações!$A$2:$A$2000,"mail",[1]Manifestações!$D$2:$D$2000,"*Redes*",[1]Manifestações!$B$2:$B$2000,"&gt;=01/02/2024",[1]Manifestações!$B$2:$B$2000,"&lt;01/03/2024")</f>
        <v>0</v>
      </c>
      <c r="BZ3" s="9">
        <f>COUNTIFS([1]Manifestações!$A$2:$A$2000,"mail",[1]Manifestações!$D$2:$D$2000,"*Fale*",[1]Manifestações!$B$2:$B$2000,"&gt;=01/02/2024",[1]Manifestações!$B$2:$B$2000,"&lt;01/03/2024")</f>
        <v>0</v>
      </c>
      <c r="CA3" s="8">
        <f>COUNTIFS([1]Manifestações!$A$2:$A$2000,"mail",[1]Manifestações!$F$2:$F$2000,"comunicação",[1]Manifestações!$B$2:$B$2000,"&gt;=01/02/2024",[1]Manifestações!$B$2:$B$2000,"&lt;01/03/2024")</f>
        <v>0</v>
      </c>
      <c r="CB3" s="24"/>
      <c r="CC3" s="25"/>
      <c r="CD3" s="9">
        <f>COUNTIFS([1]Manifestações!$A$2:$A$2000,"ouv",[1]Manifestações!$F$2:$F$2000,"denúncia",[1]Manifestações!$B$2:$B$2000,"&gt;=01/02/2024",[1]Manifestações!$B$2:$B$2000,"&lt;01/03/2024")</f>
        <v>0</v>
      </c>
      <c r="CE3" s="8">
        <f>COUNTIFS([1]Manifestações!$A$2:$A$2000,"ouv",[1]Manifestações!$F$2:$F$2000,"reclamação",[1]Manifestações!$B$2:$B$2000,"&gt;=01/02/2024",[1]Manifestações!$B$2:$B$2000,"&lt;01/03/2024")</f>
        <v>0</v>
      </c>
      <c r="CF3" s="9">
        <f>COUNTIFS([1]Manifestações!$A$2:$A$2000,"ouv",[1]Manifestações!$F$2:$F$2000,"solicitação",[1]Manifestações!$B$2:$B$2000,"&gt;=01/02/2024",[1]Manifestações!$B$2:$B$2000,"&lt;01/03/2024")</f>
        <v>0</v>
      </c>
      <c r="CG3" s="8">
        <f>COUNTIFS([1]Manifestações!$A$2:$A$2000,"ouv",[1]Manifestações!$F$2:$F$2000,"sugestão",[1]Manifestações!$B$2:$B$2000,"&gt;=01/02/2024",[1]Manifestações!$B$2:$B$2000,"&lt;01/03/2024")</f>
        <v>0</v>
      </c>
      <c r="CH3" s="9">
        <f>COUNTIFS([1]Manifestações!$A$2:$A$2000,"ouv",[1]Manifestações!$F$2:$F$2000,"elogio",[1]Manifestações!$B$2:$B$2000,"&gt;=01/02/2024",[1]Manifestações!$B$2:$B$2000,"&lt;01/03/2024")</f>
        <v>0</v>
      </c>
      <c r="CI3" s="8">
        <f>COUNTIFS([1]Manifestações!$A$2:$A$2000,"ouv",[1]Manifestações!$F$2:$F$2000,"comunicação",[1]Manifestações!$B$2:$B$2000,"&gt;=01/02/2024",[1]Manifestações!$B$2:$B$2000,"&lt;01/03/2024")</f>
        <v>0</v>
      </c>
      <c r="CJ3" s="14">
        <f>COUNTIFS([1]Manifestações!$A$2:$A$2000,"ouv",[1]Manifestações!$F$2:$F$2000,"simplifique",[1]Manifestações!$B$2:$B$2000,"&gt;=01/02/2024",[1]Manifestações!$B$2:$B$2000,"&lt;01/03/2024")</f>
        <v>0</v>
      </c>
      <c r="CK3" s="26"/>
    </row>
    <row r="4" spans="1:89" ht="14.4" customHeight="1" x14ac:dyDescent="0.3">
      <c r="A4" s="7" t="s">
        <v>69</v>
      </c>
      <c r="B4" s="8">
        <f>COUNTIFS([1]Manifestações!$A$2:$A$2000,"mail",[1]Manifestações!$B$2:$B$2000,"&gt;=01/03/2024",[1]Manifestações!$B$2:$B$2000,"&lt;01/04/2024",[1]Manifestações!$F$2:$F$2000, "&lt;&gt;Comunicação")</f>
        <v>0</v>
      </c>
      <c r="C4" s="9">
        <f>COUNTIFS([1]Manifestações!$A$2:$A$2000,"mail",[1]Manifestações!$B$2:$B$2000,"&gt;=01/03/2024",[1]Manifestações!$B$2:$B$2000,"&lt;01/04/2024",[1]Manifestações!$L$2:$L$2000,"Finalizada",[1]Manifestações!$F$2:$F$2000, "&lt;&gt;Comunicação")</f>
        <v>0</v>
      </c>
      <c r="D4" s="8">
        <f>COUNTIFS([1]Manifestações!$A$2:$A$2000,"ouv",[1]Manifestações!$B$2:$B$2000,"&gt;=01/03/2024",[1]Manifestações!$B$2:$B$2000,"&lt;01/04/2024",[1]Manifestações!$F$2:$F$2000, "&lt;&gt;Comunicação")</f>
        <v>0</v>
      </c>
      <c r="E4" s="9">
        <f>COUNTIFS([1]Manifestações!$A$2:$A$2000,"ouv",[1]Manifestações!$B$2:$B$2000,"&gt;=01/03/2024",[1]Manifestações!$B$2:$B$2000,"&lt;01/04/2024",[1]Manifestações!$L$2:$L$2000,"Finalizada",[1]Manifestações!$F$2:$F$2000, "&lt;&gt;Comunicação")</f>
        <v>0</v>
      </c>
      <c r="F4" s="8">
        <f>COUNTIFS([1]Manifestações!$A$2:$A$2000,"sic",[1]Manifestações!$B$2:$B$2000,"&gt;=01/03/2024",[1]Manifestações!$B$2:$B$2000,"&lt;01/04/2024")</f>
        <v>0</v>
      </c>
      <c r="G4" s="9">
        <f>COUNTIFS([1]Manifestações!$A$2:$A$2000,"sic",[1]Manifestações!$B$2:$B$2000,"&gt;=01/03/2024",[1]Manifestações!$B$2:$B$2000,"&lt;01/04/2024",[1]Manifestações!$L$2:$L$2000,"Finalizada")</f>
        <v>0</v>
      </c>
      <c r="H4" s="8">
        <f t="shared" si="0"/>
        <v>0</v>
      </c>
      <c r="I4" s="9">
        <f t="shared" si="0"/>
        <v>0</v>
      </c>
      <c r="J4" s="10" t="str">
        <f>IF(B4&gt;0,C4/B4*100," ")</f>
        <v xml:space="preserve"> </v>
      </c>
      <c r="K4" s="11" t="str">
        <f>IF(D4&gt;0,E4/D4*100," ")</f>
        <v xml:space="preserve"> </v>
      </c>
      <c r="L4" s="10" t="str">
        <f>IF(F4&gt;0,G4/F4*100," ")</f>
        <v xml:space="preserve"> </v>
      </c>
      <c r="M4" s="11" t="str">
        <f>IF(I4&gt;0,SUM(C4,E4,G4)/SUM(B4,D4,F4)*100," ")</f>
        <v xml:space="preserve"> </v>
      </c>
      <c r="N4" s="21"/>
      <c r="O4" s="9">
        <f>COUNTIFS([1]Manifestações!$F$2:$F$2000,"denúncia",[1]Manifestações!$B$2:$B$2000,"&gt;=01/03/2024",[1]Manifestações!$B$2:$B$2000,"&lt;01/04/2024")</f>
        <v>0</v>
      </c>
      <c r="P4" s="8">
        <f>COUNTIFS([1]Manifestações!$F$2:$F$2000,"reclamação",[1]Manifestações!$B$2:$B$2000,"&gt;=01/03/2024",[1]Manifestações!$B$2:$B$2000,"&lt;01/04/2024")</f>
        <v>0</v>
      </c>
      <c r="Q4" s="9">
        <f>COUNTIFS([1]Manifestações!$F$2:$F$2000,"solicitação",[1]Manifestações!$B$2:$B$2000,"&gt;=01/03/2024",[1]Manifestações!$B$2:$B$2000,"&lt;01/04/2024")</f>
        <v>0</v>
      </c>
      <c r="R4" s="8">
        <f>COUNTIFS([1]Manifestações!$F$2:$F$2000,"sugestão",[1]Manifestações!$B$2:$B$2000,"&gt;=01/03/2024",[1]Manifestações!$B$2:$B$2000,"&lt;01/04/2024")</f>
        <v>0</v>
      </c>
      <c r="S4" s="9">
        <f>COUNTIFS([1]Manifestações!$F$2:$F$2000,"elogio",[1]Manifestações!$B$2:$B$2000,"&gt;=01/03/2024",[1]Manifestações!$B$2:$B$2000,"&lt;01/04/2024")</f>
        <v>0</v>
      </c>
      <c r="T4" s="8">
        <f>COUNTIFS([1]Manifestações!$F$2:$F$2000,"simplifique",[1]Manifestações!$B$2:$B$2000,"&gt;=01/03/2024",[1]Manifestações!$B$2:$B$2000,"&lt;01/04/2024")</f>
        <v>0</v>
      </c>
      <c r="U4" s="9">
        <f>COUNTIFS([1]Manifestações!$F$2:$F$2000,"comunicação",[1]Manifestações!$B$2:$B$2000,"&gt;=01/03/2024",[1]Manifestações!$B$2:$B$2000,"&lt;01/04/2024")</f>
        <v>0</v>
      </c>
      <c r="V4" s="8">
        <f>COUNTIFS([1]Manifestações!$G$2:$G$2000,"Acesso à informação",[1]Manifestações!$B$2:$B$2000,"&gt;=01/03/2024",[1]Manifestações!$B$2:$B$2000,"&lt;01/04/2024")</f>
        <v>0</v>
      </c>
      <c r="W4" s="9">
        <f>COUNTIFS([1]Manifestações!$G$2:$G$2000,"Acesso à informação",[1]Manifestações!$B$2:$B$2000,"&gt;=01/03/2024",[1]Manifestações!$B$2:$B$2000,"&lt;01/04/2024",[1]Manifestações!$L$2:$L$2000,"Finalizada")</f>
        <v>0</v>
      </c>
      <c r="X4" s="9">
        <f>COUNTIFS([1]Manifestações!$F$2:$F$2000,"Atendimento Presencial",[1]Manifestações!$B$2:$B$2000,"&gt;=01/03/2024",[1]Manifestações!$B$2:$B$2000,"&lt;01/04/2024")</f>
        <v>0</v>
      </c>
      <c r="Y4" s="22"/>
      <c r="Z4" s="14">
        <f>COUNTIFS('[1]Atendimentos Telefônicos'!$A$2:$A$2000,"&gt;=01/03/2024",'[1]Atendimentos Telefônicos'!$A$2:$A$2000,"&lt;01/04/2024")</f>
        <v>0</v>
      </c>
      <c r="AA4" s="15">
        <f>SUMIFS('[1]Atendimentos Telefônicos'!$I$2:$I$2000,'[1]Atendimentos Telefônicos'!$A$2:$A$2000,"&gt;=01/03/2024",'[1]Atendimentos Telefônicos'!$A$2:$A$2000,"&lt;01/04/2024")</f>
        <v>0</v>
      </c>
      <c r="AB4" s="22"/>
      <c r="AC4" s="11" t="str">
        <f>IFERROR(AVERAGEIFS([1]Manifestações!$M$2:$M$2000,[1]Manifestações!$A$2:$A$2000,"mail",[1]Manifestações!$M$2:$M$2000,"&gt;=0",[1]Manifestações!$B$2:$B$2000,"&gt;=01/03/2024",[1]Manifestações!$B$2:$B$2000,"&lt;01/04/2024",[1]Manifestações!$F$2:$F$2000, "&lt;&gt;Comunicação")," ")</f>
        <v xml:space="preserve"> </v>
      </c>
      <c r="AD4" s="16" t="str">
        <f>IFERROR(AVERAGEIFS([1]Manifestações!$M$2:$M$2000,[1]Manifestações!$A$2:$A$2000,"ouv",[1]Manifestações!$M$2:$M$2000,"&gt;=0",[1]Manifestações!$B$2:$B$2000,"&gt;=01/03/2024",[1]Manifestações!$B$2:$B$2000,"&lt;01/04/2024",[1]Manifestações!$F$2:$F$2000, "&lt;&gt;Comunicação")," ")</f>
        <v xml:space="preserve"> </v>
      </c>
      <c r="AE4" s="11" t="str">
        <f>IFERROR(AVERAGEIFS([1]Manifestações!$M$2:$M$2000,[1]Manifestações!$A$2:$A$2000,"sic",[1]Manifestações!$M$2:$M$2000,"&gt;=0",[1]Manifestações!$B$2:$B$2000,"&gt;=01/03/2024",[1]Manifestações!$B$2:$B$2000,"&lt;01/04/2024",[1]Manifestações!$F$2:$F$2000, "&lt;&gt;Comunicação")," ")</f>
        <v xml:space="preserve"> </v>
      </c>
      <c r="AF4" s="16" t="str">
        <f>IFERROR(AVERAGEIFS([1]Manifestações!$M$2:$M$2000,[1]Manifestações!$M$2:$M$2000,"&gt;=0",[1]Manifestações!$B$2:$B$2000,"&gt;=01/03/2024",[1]Manifestações!$B$2:$B$2000,"&lt;01/04/2024",[1]Manifestações!$F$2:$F$2000, "&lt;&gt;Comunicação")," ")</f>
        <v xml:space="preserve"> </v>
      </c>
      <c r="AG4" s="15" t="str">
        <f>IFERROR(AA4/Z4, " ")</f>
        <v xml:space="preserve"> </v>
      </c>
      <c r="AH4" s="16">
        <v>0</v>
      </c>
      <c r="AI4" s="22"/>
      <c r="AJ4" s="9">
        <f>COUNTIFS([1]Manifestações!$A$2:$A$2000,"mail",[1]Manifestações!$H$2:$H$2000,"física",[1]Manifestações!$B$2:$B$2000,"&gt;=01/03/2024",[1]Manifestações!$B$2:$B$2000,"&lt;01/04/2024")</f>
        <v>0</v>
      </c>
      <c r="AK4" s="8">
        <f>COUNTIFS([1]Manifestações!$A$2:$A$2000,"mail",[1]Manifestações!$H$2:$H$2000,"jurídica",[1]Manifestações!$B$2:$B$2000,"&gt;=01/03/2024",[1]Manifestações!$B$2:$B$2000,"&lt;01/04/2024")</f>
        <v>0</v>
      </c>
      <c r="AL4" s="9">
        <f>COUNTIFS([1]Manifestações!$A$2:$A$2000,"ouv",[1]Manifestações!$H$2:$H$2000,"física",[1]Manifestações!$B$2:$B$2000,"&gt;=01/03/2024",[1]Manifestações!$B$2:$B$2000,"&lt;01/04/2024")</f>
        <v>0</v>
      </c>
      <c r="AM4" s="8">
        <f>COUNTIFS([1]Manifestações!$A$2:$A$2000,"ouv",[1]Manifestações!$H$2:$H$2000,"jurídica",[1]Manifestações!$B$2:$B$2000,"&gt;=01/03/2024",[1]Manifestações!$B$2:$B$2000,"&lt;01/04/2024")</f>
        <v>0</v>
      </c>
      <c r="AN4" s="9">
        <f>COUNTIFS([1]Manifestações!$A$2:$A$2000,"sic",[1]Manifestações!$H$2:$H$2000,"física",[1]Manifestações!$B$2:$B$2000,"&gt;=01/03/2024",[1]Manifestações!$B$2:$B$2000,"&lt;01/04/2024")</f>
        <v>0</v>
      </c>
      <c r="AO4" s="8">
        <f>COUNTIFS([1]Manifestações!$A$2:$A$2000,"sic",[1]Manifestações!$H$2:$H$2000,"jurídica",[1]Manifestações!$B$2:$B$2000,"&gt;=01/03/2024",[1]Manifestações!$B$2:$B$2000,"&lt;01/04/2024")</f>
        <v>0</v>
      </c>
      <c r="AP4" s="9">
        <f>COUNTIFS([1]Manifestações!$A$2:$A$2000,"presencial",[1]Manifestações!$H$2:$H$2000,"física",[1]Manifestações!$B$2:$B$2000,"&gt;=01/03/2024",[1]Manifestações!$B$2:$B$2000,"&lt;01/04/2024")</f>
        <v>0</v>
      </c>
      <c r="AQ4" s="8">
        <f>COUNTIFS([1]Manifestações!$A$2:$A$2000,"presencial",[1]Manifestações!$H$2:$H$2000,"jurídica",[1]Manifestações!$B$2:$B$2000,"&gt;=01/03/2024",[1]Manifestações!$B$2:$B$2000,"&lt;01/04/2024")</f>
        <v>0</v>
      </c>
      <c r="AR4" s="9">
        <f>COUNTIFS([1]Manifestações!$H$2:$H$2000,"física",[1]Manifestações!$B$2:$B$2000,"&gt;=01/03/2024",[1]Manifestações!$B$2:$B$2000,"&lt;01/04/2024")</f>
        <v>0</v>
      </c>
      <c r="AS4" s="10">
        <f>COUNTIFS([1]Manifestações!$H$2:$H$2000,"jurídica",[1]Manifestações!$B$2:$B$2000,"&gt;=01/03/2024",[1]Manifestações!$B$2:$B$2000,"&lt;01/04/2024")</f>
        <v>0</v>
      </c>
      <c r="AT4" s="9">
        <f>COUNTIFS('[1]Atendimentos Telefônicos'!$E$2:$E$2000,"Física",'[1]Atendimentos Telefônicos'!$A$2:$A$2000,"&gt;=01/03/2024",'[1]Atendimentos Telefônicos'!$A$2:$A$2000,"&lt;01/04/2024")</f>
        <v>0</v>
      </c>
      <c r="AU4" s="8">
        <f>COUNTIFS('[1]Atendimentos Telefônicos'!$E$2:$E$2000,"Jurídica",'[1]Atendimentos Telefônicos'!$A$2:$A$2000,"&gt;=01/03/2024",'[1]Atendimentos Telefônicos'!$A$2:$A$2000,"&lt;01/04/2024")</f>
        <v>0</v>
      </c>
      <c r="AV4" s="9">
        <f t="shared" si="1"/>
        <v>0</v>
      </c>
      <c r="AW4" s="11" t="str">
        <f t="shared" si="2"/>
        <v xml:space="preserve"> </v>
      </c>
      <c r="AX4" s="10">
        <f t="shared" si="3"/>
        <v>0</v>
      </c>
      <c r="AY4" s="10" t="str">
        <f t="shared" si="4"/>
        <v xml:space="preserve"> </v>
      </c>
      <c r="AZ4" s="22"/>
      <c r="BA4" s="9">
        <f>COUNTIFS([1]Manifestações!$A$2:$A$2000,"mail",[1]Manifestações!$I$2:$I$2000,"Feminino",[1]Manifestações!$B$2:$B$2000,"&gt;=01/03/2024",[1]Manifestações!$B$2:$B$2000,"&lt;01/04/2024")</f>
        <v>0</v>
      </c>
      <c r="BB4" s="8">
        <f>COUNTIFS([1]Manifestações!$A$2:$A$2000,"mail",[1]Manifestações!$I$2:$I$2000,"Masculino",[1]Manifestações!$B$2:$B$2000,"&gt;=01/03/2024",[1]Manifestações!$B$2:$B$2000,"&lt;01/04/2024")</f>
        <v>0</v>
      </c>
      <c r="BC4" s="9">
        <f>COUNTIFS([1]Manifestações!$A$2:$A$2000,"ouv",[1]Manifestações!$I$2:$I$2000,"Feminino",[1]Manifestações!$B$2:$B$2000,"&gt;=01/03/2024",[1]Manifestações!$B$2:$B$2000,"&lt;01/04/2024")</f>
        <v>0</v>
      </c>
      <c r="BD4" s="8">
        <f>COUNTIFS([1]Manifestações!$A$2:$A$2000,"ouv",[1]Manifestações!$I$2:$I$2000,"Masculino",[1]Manifestações!$B$2:$B$2000,"&gt;=01/03/2024",[1]Manifestações!$B$2:$B$2000,"&lt;01/04/2024")</f>
        <v>0</v>
      </c>
      <c r="BE4" s="9">
        <f>COUNTIFS([1]Manifestações!$A$2:$A$2000,"sic",[1]Manifestações!$I$2:$I$2000,"Feminino",[1]Manifestações!$B$2:$B$2000,"&gt;=01/03/2024",[1]Manifestações!$B$2:$B$2000,"&lt;01/04/2024")</f>
        <v>0</v>
      </c>
      <c r="BF4" s="8">
        <f>COUNTIFS([1]Manifestações!$A$2:$A$2000,"sic",[1]Manifestações!$I$2:$I$2000,"Masculino",[1]Manifestações!$B$2:$B$2000,"&gt;=01/03/2024",[1]Manifestações!$B$2:$B$2000,"&lt;01/04/2024")</f>
        <v>0</v>
      </c>
      <c r="BG4" s="9">
        <f>COUNTIFS([1]Manifestações!$A$2:$A$2000,"presencial",[1]Manifestações!$I$2:$I$2000,"Feminino",[1]Manifestações!$B$2:$B$2000,"&gt;=01/03/2024",[1]Manifestações!$B$2:$B$2000,"&lt;01/04/2024")</f>
        <v>0</v>
      </c>
      <c r="BH4" s="8">
        <f>COUNTIFS([1]Manifestações!$A$2:$A$2000,"presencial",[1]Manifestações!$I$2:$I$2000,"Masculino",[1]Manifestações!$B$2:$B$2000,"&gt;=01/03/2024",[1]Manifestações!$B$2:$B$2000,"&lt;01/04/2024")</f>
        <v>0</v>
      </c>
      <c r="BI4" s="9">
        <f>COUNTIFS([1]Manifestações!$I$2:$I$2000,"Feminino",[1]Manifestações!$B$2:$B$2000,"&gt;=01/03/2024",[1]Manifestações!$B$2:$B$2000,"&lt;01/04/2024")</f>
        <v>0</v>
      </c>
      <c r="BJ4" s="10">
        <f>COUNTIFS([1]Manifestações!$I$2:$I$2000,"Masculino",[1]Manifestações!$B$2:$B$2000,"&gt;=01/03/2024",[1]Manifestações!$B$2:$B$2000,"&lt;01/04/2024")</f>
        <v>0</v>
      </c>
      <c r="BK4" s="9">
        <f>COUNTIFS('[1]Atendimentos Telefônicos'!$F$2:$F$2000,"Feminino",'[1]Atendimentos Telefônicos'!$A$2:$A$2000,"&gt;=01/03/2024",'[1]Atendimentos Telefônicos'!$A$2:$A$2000,"&lt;01/04/2024")</f>
        <v>0</v>
      </c>
      <c r="BL4" s="8">
        <f>COUNTIFS('[1]Atendimentos Telefônicos'!$F$2:$F$2000,"Masculino",'[1]Atendimentos Telefônicos'!$A$2:$A$2000,"&gt;=01/03/2024",'[1]Atendimentos Telefônicos'!$A$2:$A$2000,"&lt;01/04/2024")</f>
        <v>0</v>
      </c>
      <c r="BM4" s="9">
        <f t="shared" si="5"/>
        <v>0</v>
      </c>
      <c r="BN4" s="11" t="str">
        <f t="shared" si="8"/>
        <v xml:space="preserve"> </v>
      </c>
      <c r="BO4" s="10">
        <f t="shared" si="6"/>
        <v>0</v>
      </c>
      <c r="BP4" s="10" t="str">
        <f t="shared" si="7"/>
        <v xml:space="preserve"> </v>
      </c>
      <c r="BQ4" s="23"/>
      <c r="BR4" s="9">
        <f>COUNTIFS([1]Manifestações!$A$2:$A$2000,"mail",[1]Manifestações!$F$2:$F$2000,"solicitação",[1]Manifestações!$B$2:$B$2000,"&gt;=01/03/2024",[1]Manifestações!$B$2:$B$2000,"&lt;01/04/2024")</f>
        <v>0</v>
      </c>
      <c r="BS4" s="8">
        <f>COUNTIFS([1]Manifestações!$A$2:$A$2000,"mail",[1]Manifestações!$F$2:$F$2000,"reclamação",[1]Manifestações!$B$2:$B$2000,"&gt;=01/03/2024",[1]Manifestações!$B$2:$B$2000,"&lt;01/04/2024")</f>
        <v>0</v>
      </c>
      <c r="BT4" s="9">
        <f>COUNTIFS([1]Manifestações!$A$2:$A$2000,"mail",[1]Manifestações!$F$2:$F$2000,"denúncia",[1]Manifestações!$B$2:$B$2000,"&gt;=01/03/2024",[1]Manifestações!$B$2:$B$2000,"&lt;01/04/2024")</f>
        <v>0</v>
      </c>
      <c r="BU4" s="8">
        <f>COUNTIFS([1]Manifestações!$A$2:$A$2000,"mail",[1]Manifestações!$F$2:$F$2000,"sugestão",[1]Manifestações!$B$2:$B$2000,"&gt;=01/03/2024",[1]Manifestações!$B$2:$B$2000,"&lt;01/04/2024")</f>
        <v>0</v>
      </c>
      <c r="BV4" s="9">
        <f>COUNTIFS([1]Manifestações!$A$2:$A$2000,"mail",[1]Manifestações!$F$2:$F$2000,"elogio",[1]Manifestações!$B$2:$B$2000,"&gt;=01/03/2024",[1]Manifestações!$B$2:$B$2000,"&lt;01/04/2024")</f>
        <v>0</v>
      </c>
      <c r="BW4" s="8">
        <f>COUNTIFS([1]Manifestações!$A$2:$A$2000,"mail",[1]Manifestações!$F$2:$F$2000,"simplifique",[1]Manifestações!$B$2:$B$2000,"&gt;=01/03/2024",[1]Manifestações!$B$2:$B$2000,"&lt;01/04/2024")</f>
        <v>0</v>
      </c>
      <c r="BX4" s="9">
        <f>COUNTIFS([1]Manifestações!$A$2:$A$2000,"mail",[1]Manifestações!$D$2:$D$2000,"&lt;&gt;*Fale*",[1]Manifestações!$D$2:$D$2000,"&lt;&gt;*Redes*",[1]Manifestações!$B$2:$B$2000,"&gt;=01/03/2024",[1]Manifestações!$B$2:$B$2000,"&lt;01/04/2024")</f>
        <v>0</v>
      </c>
      <c r="BY4" s="9">
        <f>COUNTIFS([1]Manifestações!$A$2:$A$2000,"mail",[1]Manifestações!$D$2:$D$2000,"*Redes*",[1]Manifestações!$B$2:$B$2000,"&gt;=01/03/2024",[1]Manifestações!$B$2:$B$2000,"&lt;01/04/2024")</f>
        <v>0</v>
      </c>
      <c r="BZ4" s="9">
        <f>COUNTIFS([1]Manifestações!$A$2:$A$2000,"mail",[1]Manifestações!$D$2:$D$2000,"*Fale*",[1]Manifestações!$B$2:$B$2000,"&gt;=01/03/2024",[1]Manifestações!$B$2:$B$2000,"&lt;01/04/2024")</f>
        <v>0</v>
      </c>
      <c r="CA4" s="8">
        <f>COUNTIFS([1]Manifestações!$A$2:$A$2000,"mail",[1]Manifestações!$F$2:$F$2000,"comunicação",[1]Manifestações!$B$2:$B$2000,"&gt;=01/03/2024",[1]Manifestações!$B$2:$B$2000,"&lt;01/04/2024")</f>
        <v>0</v>
      </c>
      <c r="CB4" s="24"/>
      <c r="CC4" s="25"/>
      <c r="CD4" s="9">
        <f>COUNTIFS([1]Manifestações!$A$2:$A$2000,"ouv",[1]Manifestações!$F$2:$F$2000,"denúncia",[1]Manifestações!$B$2:$B$2000,"&gt;=01/03/2024",[1]Manifestações!$B$2:$B$2000,"&lt;01/04/2024")</f>
        <v>0</v>
      </c>
      <c r="CE4" s="8">
        <f>COUNTIFS([1]Manifestações!$A$2:$A$2000,"ouv",[1]Manifestações!$F$2:$F$2000,"reclamação",[1]Manifestações!$B$2:$B$2000,"&gt;=01/03/2024",[1]Manifestações!$B$2:$B$2000,"&lt;01/04/2024")</f>
        <v>0</v>
      </c>
      <c r="CF4" s="9">
        <f>COUNTIFS([1]Manifestações!$A$2:$A$2000,"ouv",[1]Manifestações!$F$2:$F$2000,"solicitação",[1]Manifestações!$B$2:$B$2000,"&gt;=01/03/2024",[1]Manifestações!$B$2:$B$2000,"&lt;01/04/2024")</f>
        <v>0</v>
      </c>
      <c r="CG4" s="8">
        <f>COUNTIFS([1]Manifestações!$A$2:$A$2000,"ouv",[1]Manifestações!$F$2:$F$2000,"sugestão",[1]Manifestações!$B$2:$B$2000,"&gt;=01/03/2024",[1]Manifestações!$B$2:$B$2000,"&lt;01/04/2024")</f>
        <v>0</v>
      </c>
      <c r="CH4" s="9">
        <f>COUNTIFS([1]Manifestações!$A$2:$A$2000,"ouv",[1]Manifestações!$F$2:$F$2000,"elogio",[1]Manifestações!$B$2:$B$2000,"&gt;=01/03/2024",[1]Manifestações!$B$2:$B$2000,"&lt;01/04/2024")</f>
        <v>0</v>
      </c>
      <c r="CI4" s="8">
        <f>COUNTIFS([1]Manifestações!$A$2:$A$2000,"ouv",[1]Manifestações!$F$2:$F$2000,"comunicação",[1]Manifestações!$B$2:$B$2000,"&gt;=01/03/2024",[1]Manifestações!$B$2:$B$2000,"&lt;01/04/2024")</f>
        <v>0</v>
      </c>
      <c r="CJ4" s="14">
        <f>COUNTIFS([1]Manifestações!$A$2:$A$2000,"ouv",[1]Manifestações!$F$2:$F$2000,"simplifique",[1]Manifestações!$B$2:$B$2000,"&gt;=01/03/2024",[1]Manifestações!$B$2:$B$2000,"&lt;01/04/2024")</f>
        <v>0</v>
      </c>
      <c r="CK4" s="26"/>
    </row>
    <row r="5" spans="1:89" ht="14.4" customHeight="1" x14ac:dyDescent="0.3">
      <c r="A5" s="27" t="s">
        <v>70</v>
      </c>
      <c r="B5" s="1">
        <f t="shared" ref="B5:I5" si="9">SUM(B2:B4)</f>
        <v>0</v>
      </c>
      <c r="C5" s="1">
        <f t="shared" si="9"/>
        <v>0</v>
      </c>
      <c r="D5" s="1">
        <f t="shared" si="9"/>
        <v>0</v>
      </c>
      <c r="E5" s="1">
        <f t="shared" si="9"/>
        <v>0</v>
      </c>
      <c r="F5" s="1">
        <f t="shared" si="9"/>
        <v>0</v>
      </c>
      <c r="G5" s="1">
        <f t="shared" si="9"/>
        <v>0</v>
      </c>
      <c r="H5" s="1">
        <f t="shared" si="9"/>
        <v>0</v>
      </c>
      <c r="I5" s="1">
        <f t="shared" si="9"/>
        <v>0</v>
      </c>
      <c r="J5" s="28" t="str">
        <f>IF(SUM(B2:B4)&gt;0,SUM(C2:C4)/SUM(B2:B4)*100," ")</f>
        <v xml:space="preserve"> </v>
      </c>
      <c r="K5" s="28" t="str">
        <f>IF(SUM(D2:D4)&gt;0,SUM(E2:E4)/SUM(D2:D4)*100," ")</f>
        <v xml:space="preserve"> </v>
      </c>
      <c r="L5" s="28" t="str">
        <f>IF(SUM(F2:F4)&gt;0,SUM(G2:G4)/SUM(F2:F4)*100," ")</f>
        <v xml:space="preserve"> </v>
      </c>
      <c r="M5" s="28" t="str">
        <f>IF(SUM(H2:H4)&gt;0,SUM(I2:I4)/SUM(H2:H4)*100," ")</f>
        <v xml:space="preserve"> </v>
      </c>
      <c r="N5" s="21"/>
      <c r="O5" s="1">
        <f t="shared" ref="O5:U5" si="10">SUM(O2:O4)</f>
        <v>0</v>
      </c>
      <c r="P5" s="1">
        <f t="shared" si="10"/>
        <v>0</v>
      </c>
      <c r="Q5" s="1">
        <f t="shared" si="10"/>
        <v>0</v>
      </c>
      <c r="R5" s="1">
        <f t="shared" si="10"/>
        <v>0</v>
      </c>
      <c r="S5" s="1">
        <f t="shared" si="10"/>
        <v>0</v>
      </c>
      <c r="T5" s="1">
        <f t="shared" si="10"/>
        <v>0</v>
      </c>
      <c r="U5" s="1">
        <f t="shared" si="10"/>
        <v>0</v>
      </c>
      <c r="V5" s="1">
        <f>SUM(V2:V4)</f>
        <v>0</v>
      </c>
      <c r="W5" s="1">
        <f>SUM(W2:W4)</f>
        <v>0</v>
      </c>
      <c r="X5" s="1">
        <f>SUM(X2:X4)</f>
        <v>0</v>
      </c>
      <c r="Y5" s="22"/>
      <c r="Z5" s="1">
        <f>COUNTIFS('[1]Atendimentos Telefônicos'!$A$2:$A$2000,"&gt;=01/01/2024",'[1]Atendimentos Telefônicos'!$A$2:$A$2000,"&lt;01/04/2024")</f>
        <v>0</v>
      </c>
      <c r="AA5" s="29">
        <f>SUMIFS('[1]Atendimentos Telefônicos'!$I$2:$I$2000,'[1]Atendimentos Telefônicos'!$A$2:$A$2000,"&gt;=01/01/2024",'[1]Atendimentos Telefônicos'!$A$2:$A$2000,"&lt;01/04/2024")</f>
        <v>0</v>
      </c>
      <c r="AB5" s="22"/>
      <c r="AC5" s="28" t="str">
        <f>IFERROR(AVERAGEIFS([1]Manifestações!$M$2:$M$2000,[1]Manifestações!$A$2:$A$2000,"mail",[1]Manifestações!$M$2:$M$2000,"&gt;=0",[1]Manifestações!$B$2:$B$2000,"&gt;=01/01/2024",[1]Manifestações!$B$2:$B$2000,"&lt;01/04/2024",[1]Manifestações!$F$2:$F$2000, "&lt;&gt;Comunicação")," ")</f>
        <v xml:space="preserve"> </v>
      </c>
      <c r="AD5" s="28" t="str">
        <f>IFERROR(AVERAGEIFS([1]Manifestações!$M$2:$M$2000,[1]Manifestações!$A$2:$A$2000,"ouv",[1]Manifestações!$M$2:$M$2000,"&gt;=0",[1]Manifestações!$B$2:$B$2000,"&gt;=01/01/2024",[1]Manifestações!$B$2:$B$2000,"&lt;01/04/2024",[1]Manifestações!$F$2:$F$2000, "&lt;&gt;Comunicação")," ")</f>
        <v xml:space="preserve"> </v>
      </c>
      <c r="AE5" s="28" t="str">
        <f>IFERROR(AVERAGEIFS([1]Manifestações!$M$2:$M$2000,[1]Manifestações!$A$2:$A$2000,"sic",[1]Manifestações!$M$2:$M$2000,"&gt;=0",[1]Manifestações!$B$2:$B$2000,"&gt;=01/01/2024",[1]Manifestações!$B$2:$B$2000,"&lt;01/04/2024",[1]Manifestações!$F$2:$F$2000, "&lt;&gt;Comunicação")," ")</f>
        <v xml:space="preserve"> </v>
      </c>
      <c r="AF5" s="28" t="str">
        <f>IFERROR(AVERAGEIFS([1]Manifestações!$M$2:$M$2000,[1]Manifestações!$M$2:$M$2000,"&gt;=0",[1]Manifestações!$B$2:$B$2000,"&gt;=01/01/2024",[1]Manifestações!$B$2:$B$2000,"&lt;01/04/2024",[1]Manifestações!$F$2:$F$2000, "&lt;&gt;Comunicação")," ")</f>
        <v xml:space="preserve"> </v>
      </c>
      <c r="AG5" s="29" t="str">
        <f t="shared" ref="AG5:AG18" si="11">IFERROR(AA5/Z5, " ")</f>
        <v xml:space="preserve"> </v>
      </c>
      <c r="AH5" s="28" t="str">
        <f>IFERROR(AVERAGEIFS([1]Manifestações!$M$2:$M$2000,[1]Manifestações!$G$2:$G$2000,"Acesso à informação",[1]Manifestações!$M$2:$M$2000,"&gt;=0",[1]Manifestações!$B$2:$B$2000,"&gt;=01/01/2024",[1]Manifestações!$B$2:$B$2000,"&lt;01/04/2024",[1]Manifestações!$F$2:$F$2000, "&lt;&gt;Comunicação")," ")</f>
        <v xml:space="preserve"> </v>
      </c>
      <c r="AI5" s="22"/>
      <c r="AJ5" s="1">
        <f t="shared" ref="AJ5:AU5" si="12">SUM(AJ2:AJ4)</f>
        <v>0</v>
      </c>
      <c r="AK5" s="1">
        <f t="shared" si="12"/>
        <v>0</v>
      </c>
      <c r="AL5" s="1">
        <f t="shared" si="12"/>
        <v>0</v>
      </c>
      <c r="AM5" s="1">
        <f t="shared" si="12"/>
        <v>0</v>
      </c>
      <c r="AN5" s="1">
        <f t="shared" si="12"/>
        <v>0</v>
      </c>
      <c r="AO5" s="1">
        <f t="shared" si="12"/>
        <v>0</v>
      </c>
      <c r="AP5" s="1">
        <f t="shared" si="12"/>
        <v>0</v>
      </c>
      <c r="AQ5" s="1">
        <f t="shared" si="12"/>
        <v>0</v>
      </c>
      <c r="AR5" s="1">
        <f t="shared" si="12"/>
        <v>0</v>
      </c>
      <c r="AS5" s="28">
        <f t="shared" si="12"/>
        <v>0</v>
      </c>
      <c r="AT5" s="1">
        <f t="shared" si="12"/>
        <v>0</v>
      </c>
      <c r="AU5" s="1">
        <f t="shared" si="12"/>
        <v>0</v>
      </c>
      <c r="AV5" s="1">
        <f t="shared" si="1"/>
        <v>0</v>
      </c>
      <c r="AW5" s="28" t="str">
        <f t="shared" si="2"/>
        <v xml:space="preserve"> </v>
      </c>
      <c r="AX5" s="28">
        <f t="shared" si="3"/>
        <v>0</v>
      </c>
      <c r="AY5" s="28" t="str">
        <f t="shared" si="4"/>
        <v xml:space="preserve"> </v>
      </c>
      <c r="AZ5" s="22"/>
      <c r="BA5" s="1">
        <f t="shared" ref="BA5:BL5" si="13">SUM(BA2:BA4)</f>
        <v>0</v>
      </c>
      <c r="BB5" s="1">
        <f t="shared" si="13"/>
        <v>0</v>
      </c>
      <c r="BC5" s="1">
        <f t="shared" si="13"/>
        <v>0</v>
      </c>
      <c r="BD5" s="1">
        <f t="shared" si="13"/>
        <v>0</v>
      </c>
      <c r="BE5" s="1">
        <f t="shared" si="13"/>
        <v>0</v>
      </c>
      <c r="BF5" s="1">
        <f t="shared" si="13"/>
        <v>0</v>
      </c>
      <c r="BG5" s="1">
        <f t="shared" si="13"/>
        <v>0</v>
      </c>
      <c r="BH5" s="1">
        <f t="shared" si="13"/>
        <v>0</v>
      </c>
      <c r="BI5" s="1">
        <f t="shared" si="13"/>
        <v>0</v>
      </c>
      <c r="BJ5" s="28">
        <f t="shared" si="13"/>
        <v>0</v>
      </c>
      <c r="BK5" s="1">
        <f t="shared" si="13"/>
        <v>0</v>
      </c>
      <c r="BL5" s="1">
        <f t="shared" si="13"/>
        <v>0</v>
      </c>
      <c r="BM5" s="1">
        <f t="shared" si="5"/>
        <v>0</v>
      </c>
      <c r="BN5" s="28" t="str">
        <f t="shared" si="8"/>
        <v xml:space="preserve"> </v>
      </c>
      <c r="BO5" s="28">
        <f t="shared" si="6"/>
        <v>0</v>
      </c>
      <c r="BP5" s="28" t="str">
        <f t="shared" si="7"/>
        <v xml:space="preserve"> </v>
      </c>
      <c r="BQ5" s="23"/>
      <c r="BR5" s="1">
        <f t="shared" ref="BR5:CA5" si="14">SUM(BR2:BR4)</f>
        <v>0</v>
      </c>
      <c r="BS5" s="1">
        <f t="shared" si="14"/>
        <v>0</v>
      </c>
      <c r="BT5" s="1">
        <f t="shared" si="14"/>
        <v>0</v>
      </c>
      <c r="BU5" s="1">
        <f t="shared" si="14"/>
        <v>0</v>
      </c>
      <c r="BV5" s="1">
        <f t="shared" si="14"/>
        <v>0</v>
      </c>
      <c r="BW5" s="1">
        <f t="shared" si="14"/>
        <v>0</v>
      </c>
      <c r="BX5" s="1">
        <f t="shared" si="14"/>
        <v>0</v>
      </c>
      <c r="BY5" s="1">
        <f t="shared" si="14"/>
        <v>0</v>
      </c>
      <c r="BZ5" s="1">
        <f t="shared" si="14"/>
        <v>0</v>
      </c>
      <c r="CA5" s="1">
        <f t="shared" si="14"/>
        <v>0</v>
      </c>
      <c r="CB5" s="24"/>
      <c r="CC5" s="25"/>
      <c r="CD5" s="1">
        <f t="shared" ref="CD5:CJ5" si="15">SUM(CD2:CD4)</f>
        <v>0</v>
      </c>
      <c r="CE5" s="1">
        <f t="shared" si="15"/>
        <v>0</v>
      </c>
      <c r="CF5" s="1">
        <f t="shared" si="15"/>
        <v>0</v>
      </c>
      <c r="CG5" s="1">
        <f t="shared" si="15"/>
        <v>0</v>
      </c>
      <c r="CH5" s="1">
        <f t="shared" si="15"/>
        <v>0</v>
      </c>
      <c r="CI5" s="1">
        <f t="shared" si="15"/>
        <v>0</v>
      </c>
      <c r="CJ5" s="1">
        <f t="shared" si="15"/>
        <v>0</v>
      </c>
      <c r="CK5" s="26"/>
    </row>
    <row r="6" spans="1:89" ht="14.4" customHeight="1" x14ac:dyDescent="0.3">
      <c r="A6" s="7" t="s">
        <v>71</v>
      </c>
      <c r="B6" s="8">
        <f>COUNTIFS([1]Manifestações!$A$2:$A$2000,"mail",[1]Manifestações!$B$2:$B$2000,"&gt;=01/04/2024",[1]Manifestações!$B$2:$B$2000,"&lt;01/05/2024",[1]Manifestações!$F$2:$F$2000, "&lt;&gt;Comunicação")</f>
        <v>0</v>
      </c>
      <c r="C6" s="9">
        <f>COUNTIFS([1]Manifestações!$A$2:$A$2000,"mail",[1]Manifestações!$B$2:$B$2000,"&gt;=01/04/2024",[1]Manifestações!$B$2:$B$2000,"&lt;01/05/2024",[1]Manifestações!$L$2:$L$2000,"Finalizada",[1]Manifestações!$F$2:$F$2000, "&lt;&gt;Comunicação")</f>
        <v>0</v>
      </c>
      <c r="D6" s="8">
        <f>COUNTIFS([1]Manifestações!$A$2:$A$2000,"ouv",[1]Manifestações!$B$2:$B$2000,"&gt;=01/04/2024",[1]Manifestações!$B$2:$B$2000,"&lt;01/05/2024",[1]Manifestações!$F$2:$F$2000, "&lt;&gt;Comunicação")</f>
        <v>0</v>
      </c>
      <c r="E6" s="9">
        <f>COUNTIFS([1]Manifestações!$A$2:$A$2000,"ouv",[1]Manifestações!$B$2:$B$2000,"&gt;=01/04/2024",[1]Manifestações!$B$2:$B$2000,"&lt;01/05/2024",[1]Manifestações!$L$2:$L$2000,"Finalizada",[1]Manifestações!$F$2:$F$2000, "&lt;&gt;Comunicação")</f>
        <v>0</v>
      </c>
      <c r="F6" s="8">
        <f>COUNTIFS([1]Manifestações!$A$2:$A$2000,"sic",[1]Manifestações!$B$2:$B$2000,"&gt;=01/04/2024",[1]Manifestações!$B$2:$B$2000,"&lt;01/05/2024")</f>
        <v>0</v>
      </c>
      <c r="G6" s="9">
        <f>COUNTIFS([1]Manifestações!$A$2:$A$2000,"sic",[1]Manifestações!$B$2:$B$2000,"&gt;=01/04/2024",[1]Manifestações!$B$2:$B$2000,"&lt;01/05/2024",[1]Manifestações!$L$2:$L$2000,"Finalizada")</f>
        <v>0</v>
      </c>
      <c r="H6" s="8">
        <f t="shared" ref="H6:I8" si="16">SUM(B6,D6,F6)</f>
        <v>0</v>
      </c>
      <c r="I6" s="9">
        <f t="shared" si="16"/>
        <v>0</v>
      </c>
      <c r="J6" s="10" t="str">
        <f>IF(B6&gt;0,C6/B6*100," ")</f>
        <v xml:space="preserve"> </v>
      </c>
      <c r="K6" s="11" t="str">
        <f>IF(D6&gt;0,E6/D6*100," ")</f>
        <v xml:space="preserve"> </v>
      </c>
      <c r="L6" s="10" t="str">
        <f>IF(F6&gt;0,G6/F6*100," ")</f>
        <v xml:space="preserve"> </v>
      </c>
      <c r="M6" s="11" t="str">
        <f>IF(I6&gt;0,SUM(C6,E6,G6)/SUM(B6,D6,F6)*100," ")</f>
        <v xml:space="preserve"> </v>
      </c>
      <c r="N6" s="21"/>
      <c r="O6" s="9">
        <f>COUNTIFS([1]Manifestações!$F$2:$F$2000,"denúncia",[1]Manifestações!$B$2:$B$2000,"&gt;=01/04/2024",[1]Manifestações!$B$2:$B$2000,"&lt;01/05/2024")</f>
        <v>0</v>
      </c>
      <c r="P6" s="8">
        <f>COUNTIFS([1]Manifestações!$F$2:$F$2000,"reclamação",[1]Manifestações!$B$2:$B$2000,"&gt;=01/04/2024",[1]Manifestações!$B$2:$B$2000,"&lt;01/05/2024")</f>
        <v>0</v>
      </c>
      <c r="Q6" s="9">
        <f>COUNTIFS([1]Manifestações!$F$2:$F$2000,"solicitação",[1]Manifestações!$B$2:$B$2000,"&gt;=01/04/2024",[1]Manifestações!$B$2:$B$2000,"&lt;01/05/2024")</f>
        <v>0</v>
      </c>
      <c r="R6" s="8">
        <f>COUNTIFS([1]Manifestações!$F$2:$F$2000,"sugestão",[1]Manifestações!$B$2:$B$2000,"&gt;=01/04/2024",[1]Manifestações!$B$2:$B$2000,"&lt;01/05/2024")</f>
        <v>0</v>
      </c>
      <c r="S6" s="9">
        <f>COUNTIFS([1]Manifestações!$F$2:$F$2000,"elogio",[1]Manifestações!$B$2:$B$2000,"&gt;=01/04/2024",[1]Manifestações!$B$2:$B$2000,"&lt;01/05/2024")</f>
        <v>0</v>
      </c>
      <c r="T6" s="8">
        <f>COUNTIFS([1]Manifestações!$F$2:$F$2000,"simplifique",[1]Manifestações!$B$2:$B$2000,"&gt;=01/04/2024",[1]Manifestações!$B$2:$B$2000,"&lt;01/05/2024")</f>
        <v>0</v>
      </c>
      <c r="U6" s="9">
        <f>COUNTIFS([1]Manifestações!$F$2:$F$2000,"comunicação",[1]Manifestações!$B$2:$B$2000,"&gt;=01/04/2024",[1]Manifestações!$B$2:$B$2000,"&lt;01/05/2024")</f>
        <v>0</v>
      </c>
      <c r="V6" s="8">
        <f>COUNTIFS([1]Manifestações!$G$2:$G$2000,"Acesso à informação",[1]Manifestações!$B$2:$B$2000,"&gt;=01/04/2024",[1]Manifestações!$B$2:$B$2000,"&lt;01/05/2024")</f>
        <v>0</v>
      </c>
      <c r="W6" s="9">
        <f>COUNTIFS([1]Manifestações!$G$2:$G$2000,"Acesso à informação",[1]Manifestações!$B$2:$B$2000,"&gt;=01/04/2024",[1]Manifestações!$B$2:$B$2000,"&lt;01/05/2024",[1]Manifestações!$L$2:$L$2000,"Finalizada")</f>
        <v>0</v>
      </c>
      <c r="X6" s="9">
        <f>COUNTIFS([1]Manifestações!$F$2:$F$2000,"Atendimento Presencial",[1]Manifestações!$B$2:$B$2000,"&gt;=01/04/2024",[1]Manifestações!$B$2:$B$2000,"&lt;01/05/2024")</f>
        <v>0</v>
      </c>
      <c r="Y6" s="22"/>
      <c r="Z6" s="14">
        <f>COUNTIFS('[1]Atendimentos Telefônicos'!$A$2:$A$2000,"&gt;=01/04/2024",'[1]Atendimentos Telefônicos'!$A$2:$A$2000,"&lt;01/05/2024")</f>
        <v>0</v>
      </c>
      <c r="AA6" s="15">
        <f>SUMIFS('[1]Atendimentos Telefônicos'!$I$2:$I$2000,'[1]Atendimentos Telefônicos'!$A$2:$A$2000,"&gt;=01/04/2024",'[1]Atendimentos Telefônicos'!$A$2:$A$2000,"&lt;01/05/2024")</f>
        <v>0</v>
      </c>
      <c r="AB6" s="22"/>
      <c r="AC6" s="11" t="str">
        <f>IFERROR(AVERAGEIFS([1]Manifestações!$M$2:$M$2000,[1]Manifestações!$A$2:$A$2000,"mail",[1]Manifestações!$M$2:$M$2000,"&gt;=0",[1]Manifestações!$B$2:$B$2000,"&gt;=01/04/2024",[1]Manifestações!$B$2:$B$2000,"&lt;01/05/2024",[1]Manifestações!$F$2:$F$2000, "&lt;&gt;Comunicação")," ")</f>
        <v xml:space="preserve"> </v>
      </c>
      <c r="AD6" s="16" t="str">
        <f>IFERROR(AVERAGEIFS([1]Manifestações!$M$2:$M$2000,[1]Manifestações!$A$2:$A$2000,"ouv",[1]Manifestações!$M$2:$M$2000,"&gt;=0",[1]Manifestações!$B$2:$B$2000,"&gt;=01/04/2024",[1]Manifestações!$B$2:$B$2000,"&lt;01/05/2024",[1]Manifestações!$F$2:$F$2000, "&lt;&gt;Comunicação")," ")</f>
        <v xml:space="preserve"> </v>
      </c>
      <c r="AE6" s="11" t="str">
        <f>IFERROR(AVERAGEIFS([1]Manifestações!$M$2:$M$2000,[1]Manifestações!$A$2:$A$2000,"sic",[1]Manifestações!$M$2:$M$2000,"&gt;=0",[1]Manifestações!$B$2:$B$2000,"&gt;=01/04/2024",[1]Manifestações!$B$2:$B$2000,"&lt;01/05/2024",[1]Manifestações!$F$2:$F$2000, "&lt;&gt;Comunicação")," ")</f>
        <v xml:space="preserve"> </v>
      </c>
      <c r="AF6" s="16" t="str">
        <f>IFERROR(AVERAGEIFS([1]Manifestações!$M$2:$M$2000,[1]Manifestações!$M$2:$M$2000,"&gt;=0",[1]Manifestações!$B$2:$B$2000,"&gt;=01/04/2024",[1]Manifestações!$B$2:$B$2000,"&lt;01/05/2024",[1]Manifestações!$F$2:$F$2000, "&lt;&gt;Comunicação")," ")</f>
        <v xml:space="preserve"> </v>
      </c>
      <c r="AG6" s="15" t="str">
        <f t="shared" si="11"/>
        <v xml:space="preserve"> </v>
      </c>
      <c r="AH6" s="16" t="str">
        <f>IFERROR(AVERAGEIFS([1]Manifestações!$M$2:$M$2000,[1]Manifestações!$G$2:$G$2000,"Acesso à informação",[1]Manifestações!$M$2:$M$2000,"&gt;=0",[1]Manifestações!$B$2:$B$2000,"&gt;=01/04/2024",[1]Manifestações!$B$2:$B$2000,"&lt;01/05/2024",[1]Manifestações!$F$2:$F$2000, "&lt;&gt;Comunicação")," ")</f>
        <v xml:space="preserve"> </v>
      </c>
      <c r="AI6" s="22"/>
      <c r="AJ6" s="9">
        <f>COUNTIFS([1]Manifestações!$A$2:$A$2000,"mail",[1]Manifestações!$H$2:$H$2000,"física",[1]Manifestações!$B$2:$B$2000,"&gt;=01/04/2024",[1]Manifestações!$B$2:$B$2000,"&lt;01/05/2024")</f>
        <v>0</v>
      </c>
      <c r="AK6" s="8">
        <f>COUNTIFS([1]Manifestações!$A$2:$A$2000,"mail",[1]Manifestações!$H$2:$H$2000,"jurídica",[1]Manifestações!$B$2:$B$2000,"&gt;=01/04/2024",[1]Manifestações!$B$2:$B$2000,"&lt;01/05/2024")</f>
        <v>0</v>
      </c>
      <c r="AL6" s="9">
        <f>COUNTIFS([1]Manifestações!$A$2:$A$2000,"ouv",[1]Manifestações!$H$2:$H$2000,"física",[1]Manifestações!$B$2:$B$2000,"&gt;=01/04/2024",[1]Manifestações!$B$2:$B$2000,"&lt;01/05/2024")</f>
        <v>0</v>
      </c>
      <c r="AM6" s="8">
        <f>COUNTIFS([1]Manifestações!$A$2:$A$2000,"ouv",[1]Manifestações!$H$2:$H$2000,"jurídica",[1]Manifestações!$B$2:$B$2000,"&gt;=01/04/2024",[1]Manifestações!$B$2:$B$2000,"&lt;01/05/2024")</f>
        <v>0</v>
      </c>
      <c r="AN6" s="9">
        <f>COUNTIFS([1]Manifestações!$A$2:$A$2000,"sic",[1]Manifestações!$H$2:$H$2000,"física",[1]Manifestações!$B$2:$B$2000,"&gt;=01/04/2024",[1]Manifestações!$B$2:$B$2000,"&lt;01/05/2024")</f>
        <v>0</v>
      </c>
      <c r="AO6" s="8">
        <f>COUNTIFS([1]Manifestações!$A$2:$A$2000,"sic",[1]Manifestações!$H$2:$H$2000,"jurídica",[1]Manifestações!$B$2:$B$2000,"&gt;=01/04/2024",[1]Manifestações!$B$2:$B$2000,"&lt;01/05/2024")</f>
        <v>0</v>
      </c>
      <c r="AP6" s="9">
        <f>COUNTIFS([1]Manifestações!$A$2:$A$2000,"presencial",[1]Manifestações!$H$2:$H$2000,"física",[1]Manifestações!$B$2:$B$2000,"&gt;=01/04/2024",[1]Manifestações!$B$2:$B$2000,"&lt;01/05/2024")</f>
        <v>0</v>
      </c>
      <c r="AQ6" s="8">
        <f>COUNTIFS([1]Manifestações!$A$2:$A$2000,"presencial",[1]Manifestações!$H$2:$H$2000,"jurídica",[1]Manifestações!$B$2:$B$2000,"&gt;=01/04/2024",[1]Manifestações!$B$2:$B$2000,"&lt;01/05/2024")</f>
        <v>0</v>
      </c>
      <c r="AR6" s="9">
        <f>COUNTIFS([1]Manifestações!$H$2:$H$2000,"física",[1]Manifestações!$B$2:$B$2000,"&gt;=01/04/2024",[1]Manifestações!$B$2:$B$2000,"&lt;01/05/2024")</f>
        <v>0</v>
      </c>
      <c r="AS6" s="10">
        <f>COUNTIFS([1]Manifestações!$H$2:$H$2000,"jurídica",[1]Manifestações!$B$2:$B$2000,"&gt;=01/04/2024",[1]Manifestações!$B$2:$B$2000,"&lt;01/05/2024")</f>
        <v>0</v>
      </c>
      <c r="AT6" s="9">
        <f>COUNTIFS('[1]Atendimentos Telefônicos'!$E$2:$E$2000,"Física",'[1]Atendimentos Telefônicos'!$A$2:$A$2000,"&gt;=01/04/2024",'[1]Atendimentos Telefônicos'!$A$2:$A$2000,"&lt;01/05/2024")</f>
        <v>0</v>
      </c>
      <c r="AU6" s="8">
        <f>COUNTIFS('[1]Atendimentos Telefônicos'!$E$2:$E$2000,"Jurídica",'[1]Atendimentos Telefônicos'!$A$2:$A$2000,"&gt;=01/04/2024",'[1]Atendimentos Telefônicos'!$A$2:$A$2000,"&lt;01/05/2024")</f>
        <v>0</v>
      </c>
      <c r="AV6" s="9">
        <f t="shared" si="1"/>
        <v>0</v>
      </c>
      <c r="AW6" s="11" t="str">
        <f t="shared" si="2"/>
        <v xml:space="preserve"> </v>
      </c>
      <c r="AX6" s="10">
        <f t="shared" si="3"/>
        <v>0</v>
      </c>
      <c r="AY6" s="10" t="str">
        <f t="shared" si="4"/>
        <v xml:space="preserve"> </v>
      </c>
      <c r="AZ6" s="22"/>
      <c r="BA6" s="9">
        <f>COUNTIFS([1]Manifestações!$A$2:$A$2000,"mail",[1]Manifestações!$I$2:$I$2000,"Feminino",[1]Manifestações!$B$2:$B$2000,"&gt;=01/04/2024",[1]Manifestações!$B$2:$B$2000,"&lt;01/05/2024")</f>
        <v>0</v>
      </c>
      <c r="BB6" s="8">
        <f>COUNTIFS([1]Manifestações!$A$2:$A$2000,"mail",[1]Manifestações!$I$2:$I$2000,"Masculino",[1]Manifestações!$B$2:$B$2000,"&gt;=01/04/2024",[1]Manifestações!$B$2:$B$2000,"&lt;01/05/2024")</f>
        <v>0</v>
      </c>
      <c r="BC6" s="9">
        <f>COUNTIFS([1]Manifestações!$A$2:$A$2000,"ouv",[1]Manifestações!$I$2:$I$2000,"Feminino",[1]Manifestações!$B$2:$B$2000,"&gt;=01/04/2024",[1]Manifestações!$B$2:$B$2000,"&lt;01/05/2024")</f>
        <v>0</v>
      </c>
      <c r="BD6" s="8">
        <f>COUNTIFS([1]Manifestações!$A$2:$A$2000,"ouv",[1]Manifestações!$I$2:$I$2000,"Masculino",[1]Manifestações!$B$2:$B$2000,"&gt;=01/04/2024",[1]Manifestações!$B$2:$B$2000,"&lt;01/05/2024")</f>
        <v>0</v>
      </c>
      <c r="BE6" s="9">
        <f>COUNTIFS([1]Manifestações!$A$2:$A$2000,"sic",[1]Manifestações!$I$2:$I$2000,"Feminino",[1]Manifestações!$B$2:$B$2000,"&gt;=01/04/2024",[1]Manifestações!$B$2:$B$2000,"&lt;01/05/2024")</f>
        <v>0</v>
      </c>
      <c r="BF6" s="8">
        <f>COUNTIFS([1]Manifestações!$A$2:$A$2000,"sic",[1]Manifestações!$I$2:$I$2000,"Masculino",[1]Manifestações!$B$2:$B$2000,"&gt;=01/04/2024",[1]Manifestações!$B$2:$B$2000,"&lt;01/05/2024")</f>
        <v>0</v>
      </c>
      <c r="BG6" s="9">
        <f>COUNTIFS([1]Manifestações!$A$2:$A$2000,"presencial",[1]Manifestações!$I$2:$I$2000,"Feminino",[1]Manifestações!$B$2:$B$2000,"&gt;=01/04/2024",[1]Manifestações!$B$2:$B$2000,"&lt;01/05/2024")</f>
        <v>0</v>
      </c>
      <c r="BH6" s="8">
        <f>COUNTIFS([1]Manifestações!$A$2:$A$2000,"presencial",[1]Manifestações!$I$2:$I$2000,"Masculino",[1]Manifestações!$B$2:$B$2000,"&gt;=01/04/2024",[1]Manifestações!$B$2:$B$2000,"&lt;01/05/2024")</f>
        <v>0</v>
      </c>
      <c r="BI6" s="9">
        <f>COUNTIFS([1]Manifestações!$I$2:$I$2000,"Feminino",[1]Manifestações!$B$2:$B$2000,"&gt;=01/04/2024",[1]Manifestações!$B$2:$B$2000,"&lt;01/05/2024")</f>
        <v>0</v>
      </c>
      <c r="BJ6" s="10">
        <f>COUNTIFS([1]Manifestações!$I$2:$I$2000,"Masculino",[1]Manifestações!$B$2:$B$2000,"&gt;=01/04/2024",[1]Manifestações!$B$2:$B$2000,"&lt;01/05/2024")</f>
        <v>0</v>
      </c>
      <c r="BK6" s="9">
        <f>COUNTIFS('[1]Atendimentos Telefônicos'!$F$2:$F$2000,"Feminino",'[1]Atendimentos Telefônicos'!$A$2:$A$2000,"&gt;=01/04/2024",'[1]Atendimentos Telefônicos'!$A$2:$A$2000,"&lt;01/05/2024")</f>
        <v>0</v>
      </c>
      <c r="BL6" s="8">
        <f>COUNTIFS('[1]Atendimentos Telefônicos'!$F$2:$F$2000,"Masculino",'[1]Atendimentos Telefônicos'!$A$2:$A$2000,"&gt;=01/04/2024",'[1]Atendimentos Telefônicos'!$A$2:$A$2000,"&lt;01/05/2024")</f>
        <v>0</v>
      </c>
      <c r="BM6" s="9">
        <f t="shared" si="5"/>
        <v>0</v>
      </c>
      <c r="BN6" s="11" t="str">
        <f t="shared" si="8"/>
        <v xml:space="preserve"> </v>
      </c>
      <c r="BO6" s="10">
        <f t="shared" si="6"/>
        <v>0</v>
      </c>
      <c r="BP6" s="10" t="str">
        <f t="shared" si="7"/>
        <v xml:space="preserve"> </v>
      </c>
      <c r="BQ6" s="23"/>
      <c r="BR6" s="9">
        <f>COUNTIFS([1]Manifestações!$A$2:$A$2000,"mail",[1]Manifestações!$F$2:$F$2000,"solicitação",[1]Manifestações!$B$2:$B$2000,"&gt;=01/04/2024",[1]Manifestações!$B$2:$B$2000,"&lt;01/05/2024")</f>
        <v>0</v>
      </c>
      <c r="BS6" s="8">
        <f>COUNTIFS([1]Manifestações!$A$2:$A$2000,"mail",[1]Manifestações!$F$2:$F$2000,"reclamação",[1]Manifestações!$B$2:$B$2000,"&gt;=01/04/2024",[1]Manifestações!$B$2:$B$2000,"&lt;01/05/2024")</f>
        <v>0</v>
      </c>
      <c r="BT6" s="9">
        <f>COUNTIFS([1]Manifestações!$A$2:$A$2000,"mail",[1]Manifestações!$F$2:$F$2000,"denúncia",[1]Manifestações!$B$2:$B$2000,"&gt;=01/04/2024",[1]Manifestações!$B$2:$B$2000,"&lt;01/05/2024")</f>
        <v>0</v>
      </c>
      <c r="BU6" s="8">
        <f>COUNTIFS([1]Manifestações!$A$2:$A$2000,"mail",[1]Manifestações!$F$2:$F$2000,"sugestão",[1]Manifestações!$B$2:$B$2000,"&gt;=01/04/2024",[1]Manifestações!$B$2:$B$2000,"&lt;01/05/2024")</f>
        <v>0</v>
      </c>
      <c r="BV6" s="9">
        <f>COUNTIFS([1]Manifestações!$A$2:$A$2000,"mail",[1]Manifestações!$F$2:$F$2000,"elogio",[1]Manifestações!$B$2:$B$2000,"&gt;=01/04/2024",[1]Manifestações!$B$2:$B$2000,"&lt;01/05/2024")</f>
        <v>0</v>
      </c>
      <c r="BW6" s="8">
        <f>COUNTIFS([1]Manifestações!$A$2:$A$2000,"mail",[1]Manifestações!$F$2:$F$2000,"simplifique",[1]Manifestações!$B$2:$B$2000,"&gt;=01/04/2024",[1]Manifestações!$B$2:$B$2000,"&lt;01/05/2024")</f>
        <v>0</v>
      </c>
      <c r="BX6" s="9">
        <f>COUNTIFS([1]Manifestações!$A$2:$A$2000,"mail",[1]Manifestações!$D$2:$D$2000,"&lt;&gt;*Fale*",[1]Manifestações!$D$2:$D$2000,"&lt;&gt;*Redes*",[1]Manifestações!$B$2:$B$2000,"&gt;=01/04/2024",[1]Manifestações!$B$2:$B$2000,"&lt;01/05/2024")</f>
        <v>0</v>
      </c>
      <c r="BY6" s="9">
        <f>COUNTIFS([1]Manifestações!$A$2:$A$2000,"mail",[1]Manifestações!$D$2:$D$2000,"*Redes*",[1]Manifestações!$B$2:$B$2000,"&gt;=01/04/2024",[1]Manifestações!$B$2:$B$2000,"&lt;01/05/2024")</f>
        <v>0</v>
      </c>
      <c r="BZ6" s="9">
        <f>COUNTIFS([1]Manifestações!$A$2:$A$2000,"mail",[1]Manifestações!$D$2:$D$2000,"*Fale*",[1]Manifestações!$B$2:$B$2000,"&gt;=01/04/2024",[1]Manifestações!$B$2:$B$2000,"&lt;01/05/2024")</f>
        <v>0</v>
      </c>
      <c r="CA6" s="8">
        <f>COUNTIFS([1]Manifestações!$A$2:$A$2000,"mail",[1]Manifestações!$F$2:$F$2000,"comunicação",[1]Manifestações!$B$2:$B$2000,"&gt;=01/04/2024",[1]Manifestações!$B$2:$B$2000,"&lt;01/05/2024")</f>
        <v>0</v>
      </c>
      <c r="CB6" s="24"/>
      <c r="CC6" s="25"/>
      <c r="CD6" s="9">
        <f>COUNTIFS([1]Manifestações!$A$2:$A$2000,"ouv",[1]Manifestações!$F$2:$F$2000,"denúncia",[1]Manifestações!$B$2:$B$2000,"&gt;=01/04/2024",[1]Manifestações!$B$2:$B$2000,"&lt;01/05/2024")</f>
        <v>0</v>
      </c>
      <c r="CE6" s="8">
        <f>COUNTIFS([1]Manifestações!$A$2:$A$2000,"ouv",[1]Manifestações!$F$2:$F$2000,"reclamação",[1]Manifestações!$B$2:$B$2000,"&gt;=01/04/2024",[1]Manifestações!$B$2:$B$2000,"&lt;01/05/2024")</f>
        <v>0</v>
      </c>
      <c r="CF6" s="9">
        <f>COUNTIFS([1]Manifestações!$A$2:$A$2000,"ouv",[1]Manifestações!$F$2:$F$2000,"solicitação",[1]Manifestações!$B$2:$B$2000,"&gt;=01/04/2024",[1]Manifestações!$B$2:$B$2000,"&lt;01/05/2024")</f>
        <v>0</v>
      </c>
      <c r="CG6" s="8">
        <f>COUNTIFS([1]Manifestações!$A$2:$A$2000,"ouv",[1]Manifestações!$F$2:$F$2000,"sugestão",[1]Manifestações!$B$2:$B$2000,"&gt;=01/04/2024",[1]Manifestações!$B$2:$B$2000,"&lt;01/05/2024")</f>
        <v>0</v>
      </c>
      <c r="CH6" s="9">
        <f>COUNTIFS([1]Manifestações!$A$2:$A$2000,"ouv",[1]Manifestações!$F$2:$F$2000,"elogio",[1]Manifestações!$B$2:$B$2000,"&gt;=01/04/2024",[1]Manifestações!$B$2:$B$2000,"&lt;01/05/2024")</f>
        <v>0</v>
      </c>
      <c r="CI6" s="8">
        <f>COUNTIFS([1]Manifestações!$A$2:$A$2000,"ouv",[1]Manifestações!$F$2:$F$2000,"comunicação",[1]Manifestações!$B$2:$B$2000,"&gt;=01/04/2024",[1]Manifestações!$B$2:$B$2000,"&lt;01/05/2024")</f>
        <v>0</v>
      </c>
      <c r="CJ6" s="14">
        <f>COUNTIFS([1]Manifestações!$A$2:$A$2000,"ouv",[1]Manifestações!$F$2:$F$2000,"simplifique",[1]Manifestações!$B$2:$B$2000,"&gt;=01/04/2024",[1]Manifestações!$B$2:$B$2000,"&lt;01/05/2024")</f>
        <v>0</v>
      </c>
      <c r="CK6" s="26"/>
    </row>
    <row r="7" spans="1:89" ht="14.4" customHeight="1" x14ac:dyDescent="0.3">
      <c r="A7" s="7" t="s">
        <v>72</v>
      </c>
      <c r="B7" s="8">
        <f>COUNTIFS([1]Manifestações!$A$2:$A$2000,"mail",[1]Manifestações!$B$2:$B$2000,"&gt;=01/05/2024",[1]Manifestações!$B$2:$B$2000,"&lt;01/06/2024",[1]Manifestações!$F$2:$F$2000, "&lt;&gt;Comunicação")</f>
        <v>0</v>
      </c>
      <c r="C7" s="9">
        <f>COUNTIFS([1]Manifestações!$A$2:$A$2000,"mail",[1]Manifestações!$B$2:$B$2000,"&gt;=01/05/2024",[1]Manifestações!$B$2:$B$2000,"&lt;01/06/2024",[1]Manifestações!$L$2:$L$2000,"Finalizada",[1]Manifestações!$F$2:$F$2000, "&lt;&gt;Comunicação")</f>
        <v>0</v>
      </c>
      <c r="D7" s="8">
        <f>COUNTIFS([1]Manifestações!$A$2:$A$2000,"ouv",[1]Manifestações!$B$2:$B$2000,"&gt;=01/05/2024",[1]Manifestações!$B$2:$B$2000,"&lt;01/06/2024",[1]Manifestações!$F$2:$F$2000, "&lt;&gt;Comunicação")</f>
        <v>0</v>
      </c>
      <c r="E7" s="9">
        <f>COUNTIFS([1]Manifestações!$A$2:$A$2000,"ouv",[1]Manifestações!$B$2:$B$2000,"&gt;=01/05/2024",[1]Manifestações!$B$2:$B$2000,"&lt;01/06/2024",[1]Manifestações!$L$2:$L$2000,"Finalizada",[1]Manifestações!$F$2:$F$2000, "&lt;&gt;Comunicação")</f>
        <v>0</v>
      </c>
      <c r="F7" s="8">
        <f>COUNTIFS([1]Manifestações!$A$2:$A$2000,"sic",[1]Manifestações!$B$2:$B$2000,"&gt;=01/05/2024",[1]Manifestações!$B$2:$B$2000,"&lt;01/06/2024")</f>
        <v>0</v>
      </c>
      <c r="G7" s="9">
        <f>COUNTIFS([1]Manifestações!$A$2:$A$2000,"sic",[1]Manifestações!$B$2:$B$2000,"&gt;=01/05/2024",[1]Manifestações!$B$2:$B$2000,"&lt;01/06/2024",[1]Manifestações!$L$2:$L$2000,"Finalizada")</f>
        <v>0</v>
      </c>
      <c r="H7" s="8">
        <f t="shared" si="16"/>
        <v>0</v>
      </c>
      <c r="I7" s="9">
        <f t="shared" si="16"/>
        <v>0</v>
      </c>
      <c r="J7" s="10" t="str">
        <f>IF(B7&gt;0,C7/B7*100," ")</f>
        <v xml:space="preserve"> </v>
      </c>
      <c r="K7" s="11" t="str">
        <f>IF(D7&gt;0,E7/D7*100," ")</f>
        <v xml:space="preserve"> </v>
      </c>
      <c r="L7" s="10" t="str">
        <f>IF(F7&gt;0,G7/F7*100," ")</f>
        <v xml:space="preserve"> </v>
      </c>
      <c r="M7" s="11" t="str">
        <f>IF(I7&gt;0,SUM(C7,E7,G7)/SUM(B7,D7,F7)*100," ")</f>
        <v xml:space="preserve"> </v>
      </c>
      <c r="N7" s="21"/>
      <c r="O7" s="9">
        <f>COUNTIFS([1]Manifestações!$F$2:$F$2000,"denúncia",[1]Manifestações!$B$2:$B$2000,"&gt;=01/05/2024",[1]Manifestações!$B$2:$B$2000,"&lt;01/06/2024")</f>
        <v>0</v>
      </c>
      <c r="P7" s="8">
        <f>COUNTIFS([1]Manifestações!$F$2:$F$2000,"reclamação",[1]Manifestações!$B$2:$B$2000,"&gt;=01/05/2024",[1]Manifestações!$B$2:$B$2000,"&lt;01/06/2024")</f>
        <v>0</v>
      </c>
      <c r="Q7" s="9">
        <f>COUNTIFS([1]Manifestações!$F$2:$F$2000,"solicitação",[1]Manifestações!$B$2:$B$2000,"&gt;=01/05/2024",[1]Manifestações!$B$2:$B$2000,"&lt;01/06/2024")</f>
        <v>0</v>
      </c>
      <c r="R7" s="8">
        <f>COUNTIFS([1]Manifestações!$F$2:$F$2000,"sugestão",[1]Manifestações!$B$2:$B$2000,"&gt;=01/05/2024",[1]Manifestações!$B$2:$B$2000,"&lt;01/06/2024")</f>
        <v>0</v>
      </c>
      <c r="S7" s="9">
        <f>COUNTIFS([1]Manifestações!$F$2:$F$2000,"elogio",[1]Manifestações!$B$2:$B$2000,"&gt;=01/05/2024",[1]Manifestações!$B$2:$B$2000,"&lt;01/06/2024")</f>
        <v>0</v>
      </c>
      <c r="T7" s="8">
        <f>COUNTIFS([1]Manifestações!$F$2:$F$2000,"simplifique",[1]Manifestações!$B$2:$B$2000,"&gt;=01/05/2024",[1]Manifestações!$B$2:$B$2000,"&lt;01/06/2024")</f>
        <v>0</v>
      </c>
      <c r="U7" s="9">
        <f>COUNTIFS([1]Manifestações!$F$2:$F$2000,"comunicação",[1]Manifestações!$B$2:$B$2000,"&gt;=01/05/2024",[1]Manifestações!$B$2:$B$2000,"&lt;01/06/2024")</f>
        <v>0</v>
      </c>
      <c r="V7" s="8">
        <f>COUNTIFS([1]Manifestações!$G$2:$G$2000,"Acesso à informação",[1]Manifestações!$B$2:$B$2000,"&gt;=01/05/2024",[1]Manifestações!$B$2:$B$2000,"&lt;01/06/2024")</f>
        <v>0</v>
      </c>
      <c r="W7" s="9">
        <f>COUNTIFS([1]Manifestações!$G$2:$G$2000,"Acesso à informação",[1]Manifestações!$B$2:$B$2000,"&gt;=01/05/2024",[1]Manifestações!$B$2:$B$2000,"&lt;01/06/2024",[1]Manifestações!$L$2:$L$2000,"Finalizada")</f>
        <v>0</v>
      </c>
      <c r="X7" s="9">
        <f>COUNTIFS([1]Manifestações!$F$2:$F$2000,"Atendimento Presencial",[1]Manifestações!$B$2:$B$2000,"&gt;=01/05/2024",[1]Manifestações!$B$2:$B$2000,"&lt;01/06/2024")</f>
        <v>0</v>
      </c>
      <c r="Y7" s="22"/>
      <c r="Z7" s="14">
        <f>COUNTIFS('[1]Atendimentos Telefônicos'!$A$2:$A$2000,"&gt;=01/05/2024",'[1]Atendimentos Telefônicos'!$A$2:$A$2000,"&lt;01/06/2024")</f>
        <v>0</v>
      </c>
      <c r="AA7" s="15">
        <f>SUMIFS('[1]Atendimentos Telefônicos'!$I$2:$I$2000,'[1]Atendimentos Telefônicos'!$A$2:$A$2000,"&gt;=01/05/2024",'[1]Atendimentos Telefônicos'!$A$2:$A$2000,"&lt;01/06/2024")</f>
        <v>0</v>
      </c>
      <c r="AB7" s="22"/>
      <c r="AC7" s="11" t="str">
        <f>IFERROR(AVERAGEIFS([1]Manifestações!$M$2:$M$2000,[1]Manifestações!$A$2:$A$2000,"mail",[1]Manifestações!$M$2:$M$2000,"&gt;=0",[1]Manifestações!$B$2:$B$2000,"&gt;=01/05/2024",[1]Manifestações!$B$2:$B$2000,"&lt;01/06/2024",[1]Manifestações!$F$2:$F$2000, "&lt;&gt;Comunicação")," ")</f>
        <v xml:space="preserve"> </v>
      </c>
      <c r="AD7" s="16" t="str">
        <f>IFERROR(AVERAGEIFS([1]Manifestações!$M$2:$M$2000,[1]Manifestações!$A$2:$A$2000,"ouv",[1]Manifestações!$M$2:$M$2000,"&gt;=0",[1]Manifestações!$B$2:$B$2000,"&gt;=01/05/2024",[1]Manifestações!$B$2:$B$2000,"&lt;01/06/2024",[1]Manifestações!$F$2:$F$2000, "&lt;&gt;Comunicação")," ")</f>
        <v xml:space="preserve"> </v>
      </c>
      <c r="AE7" s="11" t="str">
        <f>IFERROR(AVERAGEIFS([1]Manifestações!$M$2:$M$2000,[1]Manifestações!$A$2:$A$2000,"sic",[1]Manifestações!$M$2:$M$2000,"&gt;=0",[1]Manifestações!$B$2:$B$2000,"&gt;=01/05/2024",[1]Manifestações!$B$2:$B$2000,"&lt;01/06/2024",[1]Manifestações!$F$2:$F$2000, "&lt;&gt;Comunicação")," ")</f>
        <v xml:space="preserve"> </v>
      </c>
      <c r="AF7" s="16" t="str">
        <f>IFERROR(AVERAGEIFS([1]Manifestações!$M$2:$M$2000,[1]Manifestações!$M$2:$M$2000,"&gt;=0",[1]Manifestações!$B$2:$B$2000,"&gt;=01/05/2024",[1]Manifestações!$B$2:$B$2000,"&lt;01/06/2024",[1]Manifestações!$F$2:$F$2000, "&lt;&gt;Comunicação")," ")</f>
        <v xml:space="preserve"> </v>
      </c>
      <c r="AG7" s="15" t="str">
        <f t="shared" si="11"/>
        <v xml:space="preserve"> </v>
      </c>
      <c r="AH7" s="16" t="str">
        <f>IFERROR(AVERAGEIFS([1]Manifestações!$M$2:$M$2000,[1]Manifestações!$G$2:$G$2000,"Acesso à informação",[1]Manifestações!$M$2:$M$2000,"&gt;=0",[1]Manifestações!$B$2:$B$2000,"&gt;=01/05/2024",[1]Manifestações!$B$2:$B$2000,"&lt;01/06/2024",[1]Manifestações!$F$2:$F$2000, "&lt;&gt;Comunicação")," ")</f>
        <v xml:space="preserve"> </v>
      </c>
      <c r="AI7" s="22"/>
      <c r="AJ7" s="9">
        <f>COUNTIFS([1]Manifestações!$A$2:$A$2000,"mail",[1]Manifestações!$H$2:$H$2000,"física",[1]Manifestações!$B$2:$B$2000,"&gt;=01/05/2024",[1]Manifestações!$B$2:$B$2000,"&lt;01/06/2024")</f>
        <v>0</v>
      </c>
      <c r="AK7" s="8">
        <f>COUNTIFS([1]Manifestações!$A$2:$A$2000,"mail",[1]Manifestações!$H$2:$H$2000,"jurídica",[1]Manifestações!$B$2:$B$2000,"&gt;=01/05/2024",[1]Manifestações!$B$2:$B$2000,"&lt;01/06/2024")</f>
        <v>0</v>
      </c>
      <c r="AL7" s="9">
        <f>COUNTIFS([1]Manifestações!$A$2:$A$2000,"ouv",[1]Manifestações!$H$2:$H$2000,"física",[1]Manifestações!$B$2:$B$2000,"&gt;=01/05/2024",[1]Manifestações!$B$2:$B$2000,"&lt;01/06/2024")</f>
        <v>0</v>
      </c>
      <c r="AM7" s="8">
        <f>COUNTIFS([1]Manifestações!$A$2:$A$2000,"ouv",[1]Manifestações!$H$2:$H$2000,"jurídica",[1]Manifestações!$B$2:$B$2000,"&gt;=01/05/2024",[1]Manifestações!$B$2:$B$2000,"&lt;01/06/2024")</f>
        <v>0</v>
      </c>
      <c r="AN7" s="9">
        <f>COUNTIFS([1]Manifestações!$A$2:$A$2000,"sic",[1]Manifestações!$H$2:$H$2000,"física",[1]Manifestações!$B$2:$B$2000,"&gt;=01/05/2024",[1]Manifestações!$B$2:$B$2000,"&lt;01/06/2024")</f>
        <v>0</v>
      </c>
      <c r="AO7" s="8">
        <f>COUNTIFS([1]Manifestações!$A$2:$A$2000,"sic",[1]Manifestações!$H$2:$H$2000,"jurídica",[1]Manifestações!$B$2:$B$2000,"&gt;=01/05/2024",[1]Manifestações!$B$2:$B$2000,"&lt;01/06/2024")</f>
        <v>0</v>
      </c>
      <c r="AP7" s="9">
        <f>COUNTIFS([1]Manifestações!$A$2:$A$2000,"presencial",[1]Manifestações!$H$2:$H$2000,"física",[1]Manifestações!$B$2:$B$2000,"&gt;=01/05/2024",[1]Manifestações!$B$2:$B$2000,"&lt;01/06/2024")</f>
        <v>0</v>
      </c>
      <c r="AQ7" s="8">
        <f>COUNTIFS([1]Manifestações!$A$2:$A$2000,"presencial",[1]Manifestações!$H$2:$H$2000,"jurídica",[1]Manifestações!$B$2:$B$2000,"&gt;=01/05/2024",[1]Manifestações!$B$2:$B$2000,"&lt;01/06/2024")</f>
        <v>0</v>
      </c>
      <c r="AR7" s="9">
        <f>COUNTIFS([1]Manifestações!$H$2:$H$2000,"física",[1]Manifestações!$B$2:$B$2000,"&gt;=01/05/2024",[1]Manifestações!$B$2:$B$2000,"&lt;01/06/2024")</f>
        <v>0</v>
      </c>
      <c r="AS7" s="10">
        <f>COUNTIFS([1]Manifestações!$H$2:$H$2000,"jurídica",[1]Manifestações!$B$2:$B$2000,"&gt;=01/05/2024",[1]Manifestações!$B$2:$B$2000,"&lt;01/06/2024")</f>
        <v>0</v>
      </c>
      <c r="AT7" s="9">
        <f>COUNTIFS('[1]Atendimentos Telefônicos'!$E$2:$E$2000,"Física",'[1]Atendimentos Telefônicos'!$A$2:$A$2000,"&gt;=01/05/2024",'[1]Atendimentos Telefônicos'!$A$2:$A$2000,"&lt;01/06/2024")</f>
        <v>0</v>
      </c>
      <c r="AU7" s="8">
        <f>COUNTIFS('[1]Atendimentos Telefônicos'!$E$2:$E$2000,"Jurídica",'[1]Atendimentos Telefônicos'!$A$2:$A$2000,"&gt;=01/05/2024",'[1]Atendimentos Telefônicos'!$A$2:$A$2000,"&lt;01/06/2024")</f>
        <v>0</v>
      </c>
      <c r="AV7" s="9">
        <f t="shared" si="1"/>
        <v>0</v>
      </c>
      <c r="AW7" s="11" t="str">
        <f t="shared" si="2"/>
        <v xml:space="preserve"> </v>
      </c>
      <c r="AX7" s="10">
        <f t="shared" si="3"/>
        <v>0</v>
      </c>
      <c r="AY7" s="10" t="str">
        <f t="shared" si="4"/>
        <v xml:space="preserve"> </v>
      </c>
      <c r="AZ7" s="22"/>
      <c r="BA7" s="9">
        <f>COUNTIFS([1]Manifestações!$A$2:$A$2000,"mail",[1]Manifestações!$I$2:$I$2000,"Feminino",[1]Manifestações!$B$2:$B$2000,"&gt;=01/05/2024",[1]Manifestações!$B$2:$B$2000,"&lt;01/06/2024")</f>
        <v>0</v>
      </c>
      <c r="BB7" s="8">
        <f>COUNTIFS([1]Manifestações!$A$2:$A$2000,"mail",[1]Manifestações!$I$2:$I$2000,"Masculino",[1]Manifestações!$B$2:$B$2000,"&gt;=01/05/2024",[1]Manifestações!$B$2:$B$2000,"&lt;01/06/2024")</f>
        <v>0</v>
      </c>
      <c r="BC7" s="9">
        <f>COUNTIFS([1]Manifestações!$A$2:$A$2000,"ouv",[1]Manifestações!$I$2:$I$2000,"Feminino",[1]Manifestações!$B$2:$B$2000,"&gt;=01/05/2024",[1]Manifestações!$B$2:$B$2000,"&lt;01/06/2024")</f>
        <v>0</v>
      </c>
      <c r="BD7" s="8">
        <f>COUNTIFS([1]Manifestações!$A$2:$A$2000,"ouv",[1]Manifestações!$I$2:$I$2000,"Masculino",[1]Manifestações!$B$2:$B$2000,"&gt;=01/05/2024",[1]Manifestações!$B$2:$B$2000,"&lt;01/06/2024")</f>
        <v>0</v>
      </c>
      <c r="BE7" s="9">
        <f>COUNTIFS([1]Manifestações!$A$2:$A$2000,"sic",[1]Manifestações!$I$2:$I$2000,"Feminino",[1]Manifestações!$B$2:$B$2000,"&gt;=01/05/2024",[1]Manifestações!$B$2:$B$2000,"&lt;01/06/2024")</f>
        <v>0</v>
      </c>
      <c r="BF7" s="8">
        <f>COUNTIFS([1]Manifestações!$A$2:$A$2000,"sic",[1]Manifestações!$I$2:$I$2000,"Masculino",[1]Manifestações!$B$2:$B$2000,"&gt;=01/05/2024",[1]Manifestações!$B$2:$B$2000,"&lt;01/06/2024")</f>
        <v>0</v>
      </c>
      <c r="BG7" s="9">
        <f>COUNTIFS([1]Manifestações!$A$2:$A$2000,"presencial",[1]Manifestações!$I$2:$I$2000,"Feminino",[1]Manifestações!$B$2:$B$2000,"&gt;=01/05/2024",[1]Manifestações!$B$2:$B$2000,"&lt;01/06/2024")</f>
        <v>0</v>
      </c>
      <c r="BH7" s="8">
        <f>COUNTIFS([1]Manifestações!$A$2:$A$2000,"presencial",[1]Manifestações!$I$2:$I$2000,"Masculino",[1]Manifestações!$B$2:$B$2000,"&gt;=01/05/2024",[1]Manifestações!$B$2:$B$2000,"&lt;01/06/2024")</f>
        <v>0</v>
      </c>
      <c r="BI7" s="9">
        <f>COUNTIFS([1]Manifestações!$I$2:$I$2000,"Feminino",[1]Manifestações!$B$2:$B$2000,"&gt;=01/05/2024",[1]Manifestações!$B$2:$B$2000,"&lt;01/06/2024")</f>
        <v>0</v>
      </c>
      <c r="BJ7" s="10">
        <f>COUNTIFS([1]Manifestações!$I$2:$I$2000,"Masculino",[1]Manifestações!$B$2:$B$2000,"&gt;=01/05/2024",[1]Manifestações!$B$2:$B$2000,"&lt;01/06/2024")</f>
        <v>0</v>
      </c>
      <c r="BK7" s="9">
        <f>COUNTIFS('[1]Atendimentos Telefônicos'!$F$2:$F$2000,"Feminino",'[1]Atendimentos Telefônicos'!$A$2:$A$2000,"&gt;=01/05/2024",'[1]Atendimentos Telefônicos'!$A$2:$A$2000,"&lt;01/06/2024")</f>
        <v>0</v>
      </c>
      <c r="BL7" s="8">
        <f>COUNTIFS('[1]Atendimentos Telefônicos'!$F$2:$F$2000,"Masculino",'[1]Atendimentos Telefônicos'!$A$2:$A$2000,"&gt;=01/05/2024",'[1]Atendimentos Telefônicos'!$A$2:$A$2000,"&lt;01/06/2024")</f>
        <v>0</v>
      </c>
      <c r="BM7" s="9">
        <f t="shared" si="5"/>
        <v>0</v>
      </c>
      <c r="BN7" s="11" t="str">
        <f t="shared" si="8"/>
        <v xml:space="preserve"> </v>
      </c>
      <c r="BO7" s="10">
        <f t="shared" si="6"/>
        <v>0</v>
      </c>
      <c r="BP7" s="10" t="str">
        <f t="shared" si="7"/>
        <v xml:space="preserve"> </v>
      </c>
      <c r="BQ7" s="23"/>
      <c r="BR7" s="9">
        <f>COUNTIFS([1]Manifestações!$A$2:$A$2000,"mail",[1]Manifestações!$F$2:$F$2000,"solicitação",[1]Manifestações!$B$2:$B$2000,"&gt;=01/05/2024",[1]Manifestações!$B$2:$B$2000,"&lt;01/06/2024")</f>
        <v>0</v>
      </c>
      <c r="BS7" s="8">
        <f>COUNTIFS([1]Manifestações!$A$2:$A$2000,"mail",[1]Manifestações!$F$2:$F$2000,"reclamação",[1]Manifestações!$B$2:$B$2000,"&gt;=01/05/2024",[1]Manifestações!$B$2:$B$2000,"&lt;01/06/2024")</f>
        <v>0</v>
      </c>
      <c r="BT7" s="9">
        <f>COUNTIFS([1]Manifestações!$A$2:$A$2000,"mail",[1]Manifestações!$F$2:$F$2000,"denúncia",[1]Manifestações!$B$2:$B$2000,"&gt;=01/05/2024",[1]Manifestações!$B$2:$B$2000,"&lt;01/06/2024")</f>
        <v>0</v>
      </c>
      <c r="BU7" s="8">
        <f>COUNTIFS([1]Manifestações!$A$2:$A$2000,"mail",[1]Manifestações!$F$2:$F$2000,"sugestão",[1]Manifestações!$B$2:$B$2000,"&gt;=01/05/2024",[1]Manifestações!$B$2:$B$2000,"&lt;01/06/2024")</f>
        <v>0</v>
      </c>
      <c r="BV7" s="9">
        <f>COUNTIFS([1]Manifestações!$A$2:$A$2000,"mail",[1]Manifestações!$F$2:$F$2000,"elogio",[1]Manifestações!$B$2:$B$2000,"&gt;=01/05/2024",[1]Manifestações!$B$2:$B$2000,"&lt;01/06/2024")</f>
        <v>0</v>
      </c>
      <c r="BW7" s="8">
        <f>COUNTIFS([1]Manifestações!$A$2:$A$2000,"mail",[1]Manifestações!$F$2:$F$2000,"simplifique",[1]Manifestações!$B$2:$B$2000,"&gt;=01/05/2024",[1]Manifestações!$B$2:$B$2000,"&lt;01/06/2024")</f>
        <v>0</v>
      </c>
      <c r="BX7" s="9">
        <f>COUNTIFS([1]Manifestações!$A$2:$A$2000,"mail",[1]Manifestações!$D$2:$D$2000,"&lt;&gt;*Fale*",[1]Manifestações!$D$2:$D$2000,"&lt;&gt;*Redes*",[1]Manifestações!$B$2:$B$2000,"&gt;=01/05/2024",[1]Manifestações!$B$2:$B$2000,"&lt;01/06/2024")</f>
        <v>0</v>
      </c>
      <c r="BY7" s="9">
        <f>COUNTIFS([1]Manifestações!$A$2:$A$2000,"mail",[1]Manifestações!$D$2:$D$2000,"*Redes*",[1]Manifestações!$B$2:$B$2000,"&gt;=01/05/2024",[1]Manifestações!$B$2:$B$2000,"&lt;01/06/2024")</f>
        <v>0</v>
      </c>
      <c r="BZ7" s="9">
        <f>COUNTIFS([1]Manifestações!$A$2:$A$2000,"mail",[1]Manifestações!$D$2:$D$2000,"*Fale*",[1]Manifestações!$B$2:$B$2000,"&gt;=01/05/2024",[1]Manifestações!$B$2:$B$2000,"&lt;01/06/2024")</f>
        <v>0</v>
      </c>
      <c r="CA7" s="8">
        <f>COUNTIFS([1]Manifestações!$A$2:$A$2000,"mail",[1]Manifestações!$F$2:$F$2000,"comunicação",[1]Manifestações!$B$2:$B$2000,"&gt;=01/05/2024",[1]Manifestações!$B$2:$B$2000,"&lt;01/06/2024")</f>
        <v>0</v>
      </c>
      <c r="CB7" s="24"/>
      <c r="CC7" s="25"/>
      <c r="CD7" s="9">
        <f>COUNTIFS([1]Manifestações!$A$2:$A$2000,"ouv",[1]Manifestações!$F$2:$F$2000,"denúncia",[1]Manifestações!$B$2:$B$2000,"&gt;=01/05/2024",[1]Manifestações!$B$2:$B$2000,"&lt;01/06/2024")</f>
        <v>0</v>
      </c>
      <c r="CE7" s="8">
        <f>COUNTIFS([1]Manifestações!$A$2:$A$2000,"ouv",[1]Manifestações!$F$2:$F$2000,"reclamação",[1]Manifestações!$B$2:$B$2000,"&gt;=01/05/2024",[1]Manifestações!$B$2:$B$2000,"&lt;01/06/2024")</f>
        <v>0</v>
      </c>
      <c r="CF7" s="9">
        <f>COUNTIFS([1]Manifestações!$A$2:$A$2000,"ouv",[1]Manifestações!$F$2:$F$2000,"solicitação",[1]Manifestações!$B$2:$B$2000,"&gt;=01/05/2024",[1]Manifestações!$B$2:$B$2000,"&lt;01/06/2024")</f>
        <v>0</v>
      </c>
      <c r="CG7" s="8">
        <f>COUNTIFS([1]Manifestações!$A$2:$A$2000,"ouv",[1]Manifestações!$F$2:$F$2000,"sugestão",[1]Manifestações!$B$2:$B$2000,"&gt;=01/05/2024",[1]Manifestações!$B$2:$B$2000,"&lt;01/06/2024")</f>
        <v>0</v>
      </c>
      <c r="CH7" s="9">
        <f>COUNTIFS([1]Manifestações!$A$2:$A$2000,"ouv",[1]Manifestações!$F$2:$F$2000,"elogio",[1]Manifestações!$B$2:$B$2000,"&gt;=01/05/2024",[1]Manifestações!$B$2:$B$2000,"&lt;01/06/2024")</f>
        <v>0</v>
      </c>
      <c r="CI7" s="8">
        <f>COUNTIFS([1]Manifestações!$A$2:$A$2000,"ouv",[1]Manifestações!$F$2:$F$2000,"comunicação",[1]Manifestações!$B$2:$B$2000,"&gt;=01/05/2024",[1]Manifestações!$B$2:$B$2000,"&lt;01/06/2024")</f>
        <v>0</v>
      </c>
      <c r="CJ7" s="14">
        <f>COUNTIFS([1]Manifestações!$A$2:$A$2000,"ouv",[1]Manifestações!$F$2:$F$2000,"simplifique",[1]Manifestações!$B$2:$B$2000,"&gt;=01/05/2024",[1]Manifestações!$B$2:$B$2000,"&lt;01/06/2024")</f>
        <v>0</v>
      </c>
      <c r="CK7" s="26"/>
    </row>
    <row r="8" spans="1:89" ht="14.4" customHeight="1" x14ac:dyDescent="0.3">
      <c r="A8" s="7" t="s">
        <v>73</v>
      </c>
      <c r="B8" s="8">
        <f>COUNTIFS([1]Manifestações!$A$2:$A$2000,"mail",[1]Manifestações!$B$2:$B$2000,"&gt;=01/06/2024",[1]Manifestações!$B$2:$B$2000,"&lt;01/07/2024",[1]Manifestações!$F$2:$F$2000, "&lt;&gt;Comunicação")</f>
        <v>0</v>
      </c>
      <c r="C8" s="9">
        <f>COUNTIFS([1]Manifestações!$A$2:$A$2000,"mail",[1]Manifestações!$B$2:$B$2000,"&gt;=01/06/2024",[1]Manifestações!$B$2:$B$2000,"&lt;01/07/2024",[1]Manifestações!$L$2:$L$2000,"Finalizada",[1]Manifestações!$F$2:$F$2000, "&lt;&gt;Comunicação")</f>
        <v>0</v>
      </c>
      <c r="D8" s="8">
        <f>COUNTIFS([1]Manifestações!$A$2:$A$2000,"ouv",[1]Manifestações!$B$2:$B$2000,"&gt;=01/06/2024",[1]Manifestações!$B$2:$B$2000,"&lt;01/07/2024",[1]Manifestações!$F$2:$F$2000, "&lt;&gt;Comunicação")</f>
        <v>0</v>
      </c>
      <c r="E8" s="9">
        <f>COUNTIFS([1]Manifestações!$A$2:$A$2000,"ouv",[1]Manifestações!$B$2:$B$2000,"&gt;=01/06/2024",[1]Manifestações!$B$2:$B$2000,"&lt;01/07/2024",[1]Manifestações!$L$2:$L$2000,"Finalizada",[1]Manifestações!$F$2:$F$2000, "&lt;&gt;Comunicação")</f>
        <v>0</v>
      </c>
      <c r="F8" s="8">
        <f>COUNTIFS([1]Manifestações!$A$2:$A$2000,"sic",[1]Manifestações!$B$2:$B$2000,"&gt;=01/06/2024",[1]Manifestações!$B$2:$B$2000,"&lt;01/07/2024")</f>
        <v>0</v>
      </c>
      <c r="G8" s="9">
        <f>COUNTIFS([1]Manifestações!$A$2:$A$2000,"sic",[1]Manifestações!$B$2:$B$2000,"&gt;=01/06/2024",[1]Manifestações!$B$2:$B$2000,"&lt;01/07/2024",[1]Manifestações!$L$2:$L$2000,"Finalizada")</f>
        <v>0</v>
      </c>
      <c r="H8" s="8">
        <f t="shared" si="16"/>
        <v>0</v>
      </c>
      <c r="I8" s="9">
        <f t="shared" si="16"/>
        <v>0</v>
      </c>
      <c r="J8" s="10" t="str">
        <f>IF(B8&gt;0,C8/B8*100," ")</f>
        <v xml:space="preserve"> </v>
      </c>
      <c r="K8" s="11" t="str">
        <f>IF(D8&gt;0,E8/D8*100," ")</f>
        <v xml:space="preserve"> </v>
      </c>
      <c r="L8" s="10" t="str">
        <f>IF(F8&gt;0,G8/F8*100," ")</f>
        <v xml:space="preserve"> </v>
      </c>
      <c r="M8" s="11" t="str">
        <f>IF(I8&gt;0,SUM(C8,E8,G8)/SUM(B8,D8,F8)*100," ")</f>
        <v xml:space="preserve"> </v>
      </c>
      <c r="N8" s="21"/>
      <c r="O8" s="9">
        <f>COUNTIFS([1]Manifestações!$F$2:$F$2000,"denúncia",[1]Manifestações!$B$2:$B$2000,"&gt;=01/06/2024",[1]Manifestações!$B$2:$B$2000,"&lt;01/07/2024")</f>
        <v>0</v>
      </c>
      <c r="P8" s="8">
        <f>COUNTIFS([1]Manifestações!$F$2:$F$2000,"reclamação",[1]Manifestações!$B$2:$B$2000,"&gt;=01/06/2024",[1]Manifestações!$B$2:$B$2000,"&lt;01/07/2024")</f>
        <v>0</v>
      </c>
      <c r="Q8" s="9">
        <f>COUNTIFS([1]Manifestações!$F$2:$F$2000,"solicitação",[1]Manifestações!$B$2:$B$2000,"&gt;=01/06/2024",[1]Manifestações!$B$2:$B$2000,"&lt;01/07/2024")</f>
        <v>0</v>
      </c>
      <c r="R8" s="8">
        <f>COUNTIFS([1]Manifestações!$F$2:$F$2000,"sugestão",[1]Manifestações!$B$2:$B$2000,"&gt;=01/06/2024",[1]Manifestações!$B$2:$B$2000,"&lt;01/07/2024")</f>
        <v>0</v>
      </c>
      <c r="S8" s="9">
        <f>COUNTIFS([1]Manifestações!$F$2:$F$2000,"elogio",[1]Manifestações!$B$2:$B$2000,"&gt;=01/06/2024",[1]Manifestações!$B$2:$B$2000,"&lt;01/07/2024")</f>
        <v>0</v>
      </c>
      <c r="T8" s="8">
        <f>COUNTIFS([1]Manifestações!$F$2:$F$2000,"simplifique",[1]Manifestações!$B$2:$B$2000,"&gt;=01/06/2024",[1]Manifestações!$B$2:$B$2000,"&lt;01/07/2024")</f>
        <v>0</v>
      </c>
      <c r="U8" s="9">
        <f>COUNTIFS([1]Manifestações!$F$2:$F$2000,"comunicação",[1]Manifestações!$B$2:$B$2000,"&gt;=01/06/2024",[1]Manifestações!$B$2:$B$2000,"&lt;01/07/2024")</f>
        <v>0</v>
      </c>
      <c r="V8" s="8">
        <f>COUNTIFS([1]Manifestações!$G$2:$G$2000,"Acesso à informação",[1]Manifestações!$B$2:$B$2000,"&gt;=01/06/2024",[1]Manifestações!$B$2:$B$2000,"&lt;01/07/2024")</f>
        <v>0</v>
      </c>
      <c r="W8" s="9">
        <f>COUNTIFS([1]Manifestações!$G$2:$G$2000,"Acesso à informação",[1]Manifestações!$B$2:$B$2000,"&gt;=01/06/2024",[1]Manifestações!$B$2:$B$2000,"&lt;01/07/2024",[1]Manifestações!$L$2:$L$2000,"Finalizada")</f>
        <v>0</v>
      </c>
      <c r="X8" s="9">
        <f>COUNTIFS([1]Manifestações!$F$2:$F$2000,"Atendimento Presencial",[1]Manifestações!$B$2:$B$2000,"&gt;=01/06/2024",[1]Manifestações!$B$2:$B$2000,"&lt;01/07/2024")</f>
        <v>0</v>
      </c>
      <c r="Y8" s="22"/>
      <c r="Z8" s="14">
        <f>COUNTIFS('[1]Atendimentos Telefônicos'!$A$2:$A$2000,"&gt;=01/06/2024",'[1]Atendimentos Telefônicos'!$A$2:$A$2000,"&lt;01/07/2024")</f>
        <v>0</v>
      </c>
      <c r="AA8" s="15">
        <f>SUMIFS('[1]Atendimentos Telefônicos'!$I$2:$I$2000,'[1]Atendimentos Telefônicos'!$A$2:$A$2000,"&gt;=01/06/2024",'[1]Atendimentos Telefônicos'!$A$2:$A$2000,"&lt;01/07/2024")</f>
        <v>0</v>
      </c>
      <c r="AB8" s="22"/>
      <c r="AC8" s="11" t="str">
        <f>IFERROR(AVERAGEIFS([1]Manifestações!$M$2:$M$2000,[1]Manifestações!$A$2:$A$2000,"mail",[1]Manifestações!$M$2:$M$2000,"&gt;=0",[1]Manifestações!$B$2:$B$2000,"&gt;=01/06/2024",[1]Manifestações!$B$2:$B$2000,"&lt;01/07/2024",[1]Manifestações!$F$2:$F$2000, "&lt;&gt;Comunicação")," ")</f>
        <v xml:space="preserve"> </v>
      </c>
      <c r="AD8" s="16" t="str">
        <f>IFERROR(AVERAGEIFS([1]Manifestações!$M$2:$M$2000,[1]Manifestações!$A$2:$A$2000,"ouv",[1]Manifestações!$M$2:$M$2000,"&gt;=0",[1]Manifestações!$B$2:$B$2000,"&gt;=01/06/2024",[1]Manifestações!$B$2:$B$2000,"&lt;01/07/2024",[1]Manifestações!$F$2:$F$2000, "&lt;&gt;Comunicação")," ")</f>
        <v xml:space="preserve"> </v>
      </c>
      <c r="AE8" s="11" t="str">
        <f>IFERROR(AVERAGEIFS([1]Manifestações!$M$2:$M$2000,[1]Manifestações!$A$2:$A$2000,"sic",[1]Manifestações!$M$2:$M$2000,"&gt;=0",[1]Manifestações!$B$2:$B$2000,"&gt;=01/06/2024",[1]Manifestações!$B$2:$B$2000,"&lt;01/07/2024",[1]Manifestações!$F$2:$F$2000, "&lt;&gt;Comunicação")," ")</f>
        <v xml:space="preserve"> </v>
      </c>
      <c r="AF8" s="16" t="str">
        <f>IFERROR(AVERAGEIFS([1]Manifestações!$M$2:$M$2000,[1]Manifestações!$M$2:$M$2000,"&gt;=0",[1]Manifestações!$B$2:$B$2000,"&gt;=01/06/2024",[1]Manifestações!$B$2:$B$2000,"&lt;01/07/2024",[1]Manifestações!$F$2:$F$2000, "&lt;&gt;Comunicação")," ")</f>
        <v xml:space="preserve"> </v>
      </c>
      <c r="AG8" s="15" t="str">
        <f t="shared" si="11"/>
        <v xml:space="preserve"> </v>
      </c>
      <c r="AH8" s="16" t="str">
        <f>IFERROR(AVERAGEIFS([1]Manifestações!$M$2:$M$2000,[1]Manifestações!$G$2:$G$2000,"Acesso à informação",[1]Manifestações!$M$2:$M$2000,"&gt;=0",[1]Manifestações!$B$2:$B$2000,"&gt;=01/06/2024",[1]Manifestações!$B$2:$B$2000,"&lt;01/07/2024",[1]Manifestações!$F$2:$F$2000, "&lt;&gt;Comunicação")," ")</f>
        <v xml:space="preserve"> </v>
      </c>
      <c r="AI8" s="22"/>
      <c r="AJ8" s="9">
        <f>COUNTIFS([1]Manifestações!$A$2:$A$2000,"mail",[1]Manifestações!$H$2:$H$2000,"física",[1]Manifestações!$B$2:$B$2000,"&gt;=01/06/2024",[1]Manifestações!$B$2:$B$2000,"&lt;01/07/2024")</f>
        <v>0</v>
      </c>
      <c r="AK8" s="8">
        <f>COUNTIFS([1]Manifestações!$A$2:$A$2000,"mail",[1]Manifestações!$H$2:$H$2000,"jurídica",[1]Manifestações!$B$2:$B$2000,"&gt;=01/06/2024",[1]Manifestações!$B$2:$B$2000,"&lt;01/07/2024")</f>
        <v>0</v>
      </c>
      <c r="AL8" s="9">
        <f>COUNTIFS([1]Manifestações!$A$2:$A$2000,"ouv",[1]Manifestações!$H$2:$H$2000,"física",[1]Manifestações!$B$2:$B$2000,"&gt;=01/06/2024",[1]Manifestações!$B$2:$B$2000,"&lt;01/07/2024")</f>
        <v>0</v>
      </c>
      <c r="AM8" s="8">
        <f>COUNTIFS([1]Manifestações!$A$2:$A$2000,"ouv",[1]Manifestações!$H$2:$H$2000,"jurídica",[1]Manifestações!$B$2:$B$2000,"&gt;=01/06/2024",[1]Manifestações!$B$2:$B$2000,"&lt;01/07/2024")</f>
        <v>0</v>
      </c>
      <c r="AN8" s="9">
        <f>COUNTIFS([1]Manifestações!$A$2:$A$2000,"sic",[1]Manifestações!$H$2:$H$2000,"física",[1]Manifestações!$B$2:$B$2000,"&gt;=01/06/2024",[1]Manifestações!$B$2:$B$2000,"&lt;01/07/2024")</f>
        <v>0</v>
      </c>
      <c r="AO8" s="8">
        <f>COUNTIFS([1]Manifestações!$A$2:$A$2000,"sic",[1]Manifestações!$H$2:$H$2000,"jurídica",[1]Manifestações!$B$2:$B$2000,"&gt;=01/06/2024",[1]Manifestações!$B$2:$B$2000,"&lt;01/07/2024")</f>
        <v>0</v>
      </c>
      <c r="AP8" s="9">
        <f>COUNTIFS([1]Manifestações!$A$2:$A$2000,"presencial",[1]Manifestações!$H$2:$H$2000,"física",[1]Manifestações!$B$2:$B$2000,"&gt;=01/06/2024",[1]Manifestações!$B$2:$B$2000,"&lt;01/07/2024")</f>
        <v>0</v>
      </c>
      <c r="AQ8" s="8">
        <f>COUNTIFS([1]Manifestações!$A$2:$A$2000,"presencial",[1]Manifestações!$H$2:$H$2000,"jurídica",[1]Manifestações!$B$2:$B$2000,"&gt;=01/06/2024",[1]Manifestações!$B$2:$B$2000,"&lt;01/07/2024")</f>
        <v>0</v>
      </c>
      <c r="AR8" s="9">
        <f>COUNTIFS([1]Manifestações!$H$2:$H$2000,"física",[1]Manifestações!$B$2:$B$2000,"&gt;=01/06/2024",[1]Manifestações!$B$2:$B$2000,"&lt;01/07/2024")</f>
        <v>0</v>
      </c>
      <c r="AS8" s="10">
        <f>COUNTIFS([1]Manifestações!$H$2:$H$2000,"jurídica",[1]Manifestações!$B$2:$B$2000,"&gt;=01/06/2024",[1]Manifestações!$B$2:$B$2000,"&lt;01/07/2024")</f>
        <v>0</v>
      </c>
      <c r="AT8" s="9">
        <f>COUNTIFS('[1]Atendimentos Telefônicos'!$E$2:$E$2000,"Física",'[1]Atendimentos Telefônicos'!$A$2:$A$2000,"&gt;=01/06/2024",'[1]Atendimentos Telefônicos'!$A$2:$A$2000,"&lt;01/07/2024")</f>
        <v>0</v>
      </c>
      <c r="AU8" s="8">
        <f>COUNTIFS('[1]Atendimentos Telefônicos'!$E$2:$E$2000,"Jurídica",'[1]Atendimentos Telefônicos'!$A$2:$A$2000,"&gt;=01/06/2024",'[1]Atendimentos Telefônicos'!$A$2:$A$2000,"&lt;01/07/2024")</f>
        <v>0</v>
      </c>
      <c r="AV8" s="9">
        <f t="shared" si="1"/>
        <v>0</v>
      </c>
      <c r="AW8" s="11" t="str">
        <f t="shared" si="2"/>
        <v xml:space="preserve"> </v>
      </c>
      <c r="AX8" s="10">
        <f t="shared" si="3"/>
        <v>0</v>
      </c>
      <c r="AY8" s="10" t="str">
        <f t="shared" si="4"/>
        <v xml:space="preserve"> </v>
      </c>
      <c r="AZ8" s="22"/>
      <c r="BA8" s="9">
        <f>COUNTIFS([1]Manifestações!$A$2:$A$2000,"mail",[1]Manifestações!$I$2:$I$2000,"Feminino",[1]Manifestações!$B$2:$B$2000,"&gt;=01/06/2024",[1]Manifestações!$B$2:$B$2000,"&lt;01/07/2024")</f>
        <v>0</v>
      </c>
      <c r="BB8" s="8">
        <f>COUNTIFS([1]Manifestações!$A$2:$A$2000,"mail",[1]Manifestações!$I$2:$I$2000,"Masculino",[1]Manifestações!$B$2:$B$2000,"&gt;=01/06/2024",[1]Manifestações!$B$2:$B$2000,"&lt;01/07/2024")</f>
        <v>0</v>
      </c>
      <c r="BC8" s="9">
        <f>COUNTIFS([1]Manifestações!$A$2:$A$2000,"ouv",[1]Manifestações!$I$2:$I$2000,"Feminino",[1]Manifestações!$B$2:$B$2000,"&gt;=01/06/2024",[1]Manifestações!$B$2:$B$2000,"&lt;01/07/2024")</f>
        <v>0</v>
      </c>
      <c r="BD8" s="8">
        <f>COUNTIFS([1]Manifestações!$A$2:$A$2000,"ouv",[1]Manifestações!$I$2:$I$2000,"Masculino",[1]Manifestações!$B$2:$B$2000,"&gt;=01/06/2024",[1]Manifestações!$B$2:$B$2000,"&lt;01/07/2024")</f>
        <v>0</v>
      </c>
      <c r="BE8" s="9">
        <f>COUNTIFS([1]Manifestações!$A$2:$A$2000,"sic",[1]Manifestações!$I$2:$I$2000,"Feminino",[1]Manifestações!$B$2:$B$2000,"&gt;=01/06/2024",[1]Manifestações!$B$2:$B$2000,"&lt;01/07/2024")</f>
        <v>0</v>
      </c>
      <c r="BF8" s="8">
        <f>COUNTIFS([1]Manifestações!$A$2:$A$2000,"sic",[1]Manifestações!$I$2:$I$2000,"Masculino",[1]Manifestações!$B$2:$B$2000,"&gt;=01/06/2024",[1]Manifestações!$B$2:$B$2000,"&lt;01/07/2024")</f>
        <v>0</v>
      </c>
      <c r="BG8" s="9">
        <f>COUNTIFS([1]Manifestações!$A$2:$A$2000,"presencial",[1]Manifestações!$I$2:$I$2000,"Feminino",[1]Manifestações!$B$2:$B$2000,"&gt;=01/06/2024",[1]Manifestações!$B$2:$B$2000,"&lt;01/07/2024")</f>
        <v>0</v>
      </c>
      <c r="BH8" s="8">
        <f>COUNTIFS([1]Manifestações!$A$2:$A$2000,"presencial",[1]Manifestações!$I$2:$I$2000,"Masculino",[1]Manifestações!$B$2:$B$2000,"&gt;=01/06/2024",[1]Manifestações!$B$2:$B$2000,"&lt;01/07/2024")</f>
        <v>0</v>
      </c>
      <c r="BI8" s="9">
        <f>COUNTIFS([1]Manifestações!$I$2:$I$2000,"Feminino",[1]Manifestações!$B$2:$B$2000,"&gt;=01/06/2024",[1]Manifestações!$B$2:$B$2000,"&lt;01/07/2024")</f>
        <v>0</v>
      </c>
      <c r="BJ8" s="10">
        <f>COUNTIFS([1]Manifestações!$I$2:$I$2000,"Masculino",[1]Manifestações!$B$2:$B$2000,"&gt;=01/06/2024",[1]Manifestações!$B$2:$B$2000,"&lt;01/07/2024")</f>
        <v>0</v>
      </c>
      <c r="BK8" s="9">
        <f>COUNTIFS('[1]Atendimentos Telefônicos'!$F$2:$F$2000,"Feminino",'[1]Atendimentos Telefônicos'!$A$2:$A$2000,"&gt;=01/06/2024",'[1]Atendimentos Telefônicos'!$A$2:$A$2000,"&lt;01/07/2024")</f>
        <v>0</v>
      </c>
      <c r="BL8" s="8">
        <f>COUNTIFS('[1]Atendimentos Telefônicos'!$F$2:$F$2000,"Masculino",'[1]Atendimentos Telefônicos'!$A$2:$A$2000,"&gt;=01/06/2024",'[1]Atendimentos Telefônicos'!$A$2:$A$2000,"&lt;01/07/2024")</f>
        <v>0</v>
      </c>
      <c r="BM8" s="9">
        <f t="shared" si="5"/>
        <v>0</v>
      </c>
      <c r="BN8" s="11" t="str">
        <f t="shared" si="8"/>
        <v xml:space="preserve"> </v>
      </c>
      <c r="BO8" s="10">
        <f t="shared" si="6"/>
        <v>0</v>
      </c>
      <c r="BP8" s="10" t="str">
        <f t="shared" si="7"/>
        <v xml:space="preserve"> </v>
      </c>
      <c r="BQ8" s="23"/>
      <c r="BR8" s="9">
        <f>COUNTIFS([1]Manifestações!$A$2:$A$2000,"mail",[1]Manifestações!$F$2:$F$2000,"solicitação",[1]Manifestações!$B$2:$B$2000,"&gt;=01/06/2024",[1]Manifestações!$B$2:$B$2000,"&lt;01/07/2024")</f>
        <v>0</v>
      </c>
      <c r="BS8" s="8">
        <f>COUNTIFS([1]Manifestações!$A$2:$A$2000,"mail",[1]Manifestações!$F$2:$F$2000,"reclamação",[1]Manifestações!$B$2:$B$2000,"&gt;=01/06/2024",[1]Manifestações!$B$2:$B$2000,"&lt;01/07/2024")</f>
        <v>0</v>
      </c>
      <c r="BT8" s="9">
        <f>COUNTIFS([1]Manifestações!$A$2:$A$2000,"mail",[1]Manifestações!$F$2:$F$2000,"denúncia",[1]Manifestações!$B$2:$B$2000,"&gt;=01/06/2024",[1]Manifestações!$B$2:$B$2000,"&lt;01/07/2024")</f>
        <v>0</v>
      </c>
      <c r="BU8" s="8">
        <f>COUNTIFS([1]Manifestações!$A$2:$A$2000,"mail",[1]Manifestações!$F$2:$F$2000,"sugestão",[1]Manifestações!$B$2:$B$2000,"&gt;=01/06/2024",[1]Manifestações!$B$2:$B$2000,"&lt;01/07/2024")</f>
        <v>0</v>
      </c>
      <c r="BV8" s="9">
        <f>COUNTIFS([1]Manifestações!$A$2:$A$2000,"mail",[1]Manifestações!$F$2:$F$2000,"elogio",[1]Manifestações!$B$2:$B$2000,"&gt;=01/06/2024",[1]Manifestações!$B$2:$B$2000,"&lt;01/07/2024")</f>
        <v>0</v>
      </c>
      <c r="BW8" s="8">
        <f>COUNTIFS([1]Manifestações!$A$2:$A$2000,"mail",[1]Manifestações!$F$2:$F$2000,"simplifique",[1]Manifestações!$B$2:$B$2000,"&gt;=01/06/2024",[1]Manifestações!$B$2:$B$2000,"&lt;01/07/2024")</f>
        <v>0</v>
      </c>
      <c r="BX8" s="9">
        <f>COUNTIFS([1]Manifestações!$A$2:$A$2000,"mail",[1]Manifestações!$D$2:$D$2000,"&lt;&gt;*Fale*",[1]Manifestações!$D$2:$D$2000,"&lt;&gt;*Redes*",[1]Manifestações!$B$2:$B$2000,"&gt;=01/06/2024",[1]Manifestações!$B$2:$B$2000,"&lt;01/07/2024")</f>
        <v>0</v>
      </c>
      <c r="BY8" s="9">
        <f>COUNTIFS([1]Manifestações!$A$2:$A$2000,"mail",[1]Manifestações!$D$2:$D$2000,"*Redes*",[1]Manifestações!$B$2:$B$2000,"&gt;=01/06/2024",[1]Manifestações!$B$2:$B$2000,"&lt;01/07/2024")</f>
        <v>0</v>
      </c>
      <c r="BZ8" s="9">
        <f>COUNTIFS([1]Manifestações!$A$2:$A$2000,"mail",[1]Manifestações!$D$2:$D$2000,"*Fale*",[1]Manifestações!$B$2:$B$2000,"&gt;=01/06/2024",[1]Manifestações!$B$2:$B$2000,"&lt;01/07/2024")</f>
        <v>0</v>
      </c>
      <c r="CA8" s="8">
        <f>COUNTIFS([1]Manifestações!$A$2:$A$2000,"mail",[1]Manifestações!$F$2:$F$2000,"comunicação",[1]Manifestações!$B$2:$B$2000,"&gt;=01/06/2024",[1]Manifestações!$B$2:$B$2000,"&lt;01/07/2024")</f>
        <v>0</v>
      </c>
      <c r="CB8" s="24"/>
      <c r="CC8" s="25"/>
      <c r="CD8" s="9">
        <f>COUNTIFS([1]Manifestações!$A$2:$A$2000,"ouv",[1]Manifestações!$F$2:$F$2000,"denúncia",[1]Manifestações!$B$2:$B$2000,"&gt;=01/06/2024",[1]Manifestações!$B$2:$B$2000,"&lt;01/07/2024")</f>
        <v>0</v>
      </c>
      <c r="CE8" s="8">
        <f>COUNTIFS([1]Manifestações!$A$2:$A$2000,"ouv",[1]Manifestações!$F$2:$F$2000,"reclamação",[1]Manifestações!$B$2:$B$2000,"&gt;=01/06/2024",[1]Manifestações!$B$2:$B$2000,"&lt;01/07/2024")</f>
        <v>0</v>
      </c>
      <c r="CF8" s="9">
        <f>COUNTIFS([1]Manifestações!$A$2:$A$2000,"ouv",[1]Manifestações!$F$2:$F$2000,"solicitação",[1]Manifestações!$B$2:$B$2000,"&gt;=01/06/2024",[1]Manifestações!$B$2:$B$2000,"&lt;01/07/2024")</f>
        <v>0</v>
      </c>
      <c r="CG8" s="8">
        <f>COUNTIFS([1]Manifestações!$A$2:$A$2000,"ouv",[1]Manifestações!$F$2:$F$2000,"sugestão",[1]Manifestações!$B$2:$B$2000,"&gt;=01/06/2024",[1]Manifestações!$B$2:$B$2000,"&lt;01/07/2024")</f>
        <v>0</v>
      </c>
      <c r="CH8" s="9">
        <f>COUNTIFS([1]Manifestações!$A$2:$A$2000,"ouv",[1]Manifestações!$F$2:$F$2000,"elogio",[1]Manifestações!$B$2:$B$2000,"&gt;=01/06/2024",[1]Manifestações!$B$2:$B$2000,"&lt;01/07/2024")</f>
        <v>0</v>
      </c>
      <c r="CI8" s="8">
        <f>COUNTIFS([1]Manifestações!$A$2:$A$2000,"ouv",[1]Manifestações!$F$2:$F$2000,"comunicação",[1]Manifestações!$B$2:$B$2000,"&gt;=01/06/2024",[1]Manifestações!$B$2:$B$2000,"&lt;01/07/2024")</f>
        <v>0</v>
      </c>
      <c r="CJ8" s="14">
        <f>COUNTIFS([1]Manifestações!$A$2:$A$2000,"ouv",[1]Manifestações!$F$2:$F$2000,"simplifique",[1]Manifestações!$B$2:$B$2000,"&gt;=01/06/2024",[1]Manifestações!$B$2:$B$2000,"&lt;01/07/2024")</f>
        <v>0</v>
      </c>
      <c r="CK8" s="26"/>
    </row>
    <row r="9" spans="1:89" ht="14.4" customHeight="1" x14ac:dyDescent="0.3">
      <c r="A9" s="27" t="s">
        <v>74</v>
      </c>
      <c r="B9" s="1">
        <f t="shared" ref="B9:I9" si="17">SUM(B6:B8)</f>
        <v>0</v>
      </c>
      <c r="C9" s="1">
        <f t="shared" si="17"/>
        <v>0</v>
      </c>
      <c r="D9" s="1">
        <f t="shared" si="17"/>
        <v>0</v>
      </c>
      <c r="E9" s="1">
        <f t="shared" si="17"/>
        <v>0</v>
      </c>
      <c r="F9" s="1">
        <f t="shared" si="17"/>
        <v>0</v>
      </c>
      <c r="G9" s="1">
        <f t="shared" si="17"/>
        <v>0</v>
      </c>
      <c r="H9" s="1">
        <f t="shared" si="17"/>
        <v>0</v>
      </c>
      <c r="I9" s="1">
        <f t="shared" si="17"/>
        <v>0</v>
      </c>
      <c r="J9" s="28" t="str">
        <f>IF(SUM(B6:B8)&gt;0,SUM(C6:C8)/SUM(B6:B8)*100," ")</f>
        <v xml:space="preserve"> </v>
      </c>
      <c r="K9" s="28" t="str">
        <f>IF(SUM(D6:D8)&gt;0,SUM(E6:E8)/SUM(D6:D8)*100," ")</f>
        <v xml:space="preserve"> </v>
      </c>
      <c r="L9" s="28" t="str">
        <f>IF(SUM(F6:F8)&gt;0,SUM(G6:G8)/SUM(F6:F8)*100," ")</f>
        <v xml:space="preserve"> </v>
      </c>
      <c r="M9" s="28" t="str">
        <f>IF(SUM(H6:H8)&gt;0,SUM(I6:I8)/SUM(H6:H8)*100," ")</f>
        <v xml:space="preserve"> </v>
      </c>
      <c r="N9" s="21"/>
      <c r="O9" s="1">
        <f>SUM(O6:O8)</f>
        <v>0</v>
      </c>
      <c r="P9" s="1">
        <f t="shared" ref="P9" si="18">SUM(P6:P8)</f>
        <v>0</v>
      </c>
      <c r="Q9" s="1">
        <f>SUM(Q6:Q8)</f>
        <v>0</v>
      </c>
      <c r="R9" s="1">
        <f t="shared" ref="R9:U9" si="19">SUM(R6:R8)</f>
        <v>0</v>
      </c>
      <c r="S9" s="1">
        <f t="shared" si="19"/>
        <v>0</v>
      </c>
      <c r="T9" s="1">
        <f t="shared" si="19"/>
        <v>0</v>
      </c>
      <c r="U9" s="1">
        <f t="shared" si="19"/>
        <v>0</v>
      </c>
      <c r="V9" s="1">
        <f>SUM(V6:V8)</f>
        <v>0</v>
      </c>
      <c r="W9" s="1">
        <f>SUM(W6:W8)</f>
        <v>0</v>
      </c>
      <c r="X9" s="1">
        <f>SUM(X6:X8)</f>
        <v>0</v>
      </c>
      <c r="Y9" s="22"/>
      <c r="Z9" s="1">
        <f>COUNTIFS('[1]Atendimentos Telefônicos'!$A$2:$A$2000,"&gt;=01/04/2024",'[1]Atendimentos Telefônicos'!$A$2:$A$2000,"&lt;01/07/2024")</f>
        <v>0</v>
      </c>
      <c r="AA9" s="29">
        <f>SUMIFS('[1]Atendimentos Telefônicos'!$I$2:$I$2000,'[1]Atendimentos Telefônicos'!$A$2:$A$2000,"&gt;=01/04/2024",'[1]Atendimentos Telefônicos'!$A$2:$A$2000,"&lt;01/07/2024")</f>
        <v>0</v>
      </c>
      <c r="AB9" s="22"/>
      <c r="AC9" s="28" t="str">
        <f>IFERROR(AVERAGEIFS([1]Manifestações!$M$2:$M$2000,[1]Manifestações!$A$2:$A$2000,"mail",[1]Manifestações!$M$2:$M$2000,"&gt;=0",[1]Manifestações!$B$2:$B$2000,"&gt;=01/04/2024",[1]Manifestações!$B$2:$B$2000,"&lt;01/07/2024",[1]Manifestações!$F$2:$F$2000, "&lt;&gt;Comunicação")," ")</f>
        <v xml:space="preserve"> </v>
      </c>
      <c r="AD9" s="28" t="str">
        <f>IFERROR(AVERAGEIFS([1]Manifestações!$M$2:$M$2000,[1]Manifestações!$A$2:$A$2000,"ouv",[1]Manifestações!$M$2:$M$2000,"&gt;=0",[1]Manifestações!$B$2:$B$2000,"&gt;=01/04/2024",[1]Manifestações!$B$2:$B$2000,"&lt;01/07/2024",[1]Manifestações!$F$2:$F$2000, "&lt;&gt;Comunicação")," ")</f>
        <v xml:space="preserve"> </v>
      </c>
      <c r="AE9" s="28" t="str">
        <f>IFERROR(AVERAGEIFS([1]Manifestações!$M$2:$M$2000,[1]Manifestações!$A$2:$A$2000,"sic",[1]Manifestações!$M$2:$M$2000,"&gt;=0",[1]Manifestações!$B$2:$B$2000,"&gt;=01/04/2024",[1]Manifestações!$B$2:$B$2000,"&lt;01/07/2024",[1]Manifestações!$F$2:$F$2000, "&lt;&gt;Comunicação")," ")</f>
        <v xml:space="preserve"> </v>
      </c>
      <c r="AF9" s="28" t="str">
        <f>IFERROR(AVERAGEIFS([1]Manifestações!$M$2:$M$2000,[1]Manifestações!$M$2:$M$2000,"&gt;=0",[1]Manifestações!$B$2:$B$2000,"&gt;=01/04/2024",[1]Manifestações!$B$2:$B$2000,"&lt;01/07/2024",[1]Manifestações!$F$2:$F$2000, "&lt;&gt;Comunicação")," ")</f>
        <v xml:space="preserve"> </v>
      </c>
      <c r="AG9" s="29" t="str">
        <f t="shared" si="11"/>
        <v xml:space="preserve"> </v>
      </c>
      <c r="AH9" s="28" t="str">
        <f>IFERROR(AVERAGEIFS([1]Manifestações!$M$2:$M$2000,[1]Manifestações!$G$2:$G$2000,"Acesso à informação",[1]Manifestações!$M$2:$M$2000,"&gt;=0",[1]Manifestações!$B$2:$B$2000,"&gt;=01/04/2024",[1]Manifestações!$B$2:$B$2000,"&lt;01/07/2024",[1]Manifestações!$F$2:$F$2000, "&lt;&gt;Comunicação")," ")</f>
        <v xml:space="preserve"> </v>
      </c>
      <c r="AI9" s="22"/>
      <c r="AJ9" s="1">
        <f t="shared" ref="AJ9:AU9" si="20">SUM(AJ6:AJ8)</f>
        <v>0</v>
      </c>
      <c r="AK9" s="1">
        <f t="shared" si="20"/>
        <v>0</v>
      </c>
      <c r="AL9" s="1">
        <f t="shared" si="20"/>
        <v>0</v>
      </c>
      <c r="AM9" s="1">
        <f t="shared" si="20"/>
        <v>0</v>
      </c>
      <c r="AN9" s="1">
        <f t="shared" si="20"/>
        <v>0</v>
      </c>
      <c r="AO9" s="1">
        <f t="shared" si="20"/>
        <v>0</v>
      </c>
      <c r="AP9" s="1">
        <f t="shared" si="20"/>
        <v>0</v>
      </c>
      <c r="AQ9" s="1">
        <f t="shared" si="20"/>
        <v>0</v>
      </c>
      <c r="AR9" s="1">
        <f t="shared" si="20"/>
        <v>0</v>
      </c>
      <c r="AS9" s="28">
        <f t="shared" si="20"/>
        <v>0</v>
      </c>
      <c r="AT9" s="1">
        <f t="shared" si="20"/>
        <v>0</v>
      </c>
      <c r="AU9" s="1">
        <f t="shared" si="20"/>
        <v>0</v>
      </c>
      <c r="AV9" s="1">
        <f t="shared" si="1"/>
        <v>0</v>
      </c>
      <c r="AW9" s="28" t="str">
        <f t="shared" si="2"/>
        <v xml:space="preserve"> </v>
      </c>
      <c r="AX9" s="28">
        <f t="shared" si="3"/>
        <v>0</v>
      </c>
      <c r="AY9" s="28" t="str">
        <f t="shared" si="4"/>
        <v xml:space="preserve"> </v>
      </c>
      <c r="AZ9" s="22"/>
      <c r="BA9" s="1">
        <f t="shared" ref="BA9:BL9" si="21">SUM(BA6:BA8)</f>
        <v>0</v>
      </c>
      <c r="BB9" s="1">
        <f t="shared" si="21"/>
        <v>0</v>
      </c>
      <c r="BC9" s="1">
        <f t="shared" si="21"/>
        <v>0</v>
      </c>
      <c r="BD9" s="1">
        <f t="shared" si="21"/>
        <v>0</v>
      </c>
      <c r="BE9" s="1">
        <f t="shared" si="21"/>
        <v>0</v>
      </c>
      <c r="BF9" s="1">
        <f t="shared" si="21"/>
        <v>0</v>
      </c>
      <c r="BG9" s="1">
        <f t="shared" si="21"/>
        <v>0</v>
      </c>
      <c r="BH9" s="1">
        <f t="shared" si="21"/>
        <v>0</v>
      </c>
      <c r="BI9" s="1">
        <f t="shared" si="21"/>
        <v>0</v>
      </c>
      <c r="BJ9" s="28">
        <f t="shared" si="21"/>
        <v>0</v>
      </c>
      <c r="BK9" s="1">
        <f t="shared" si="21"/>
        <v>0</v>
      </c>
      <c r="BL9" s="1">
        <f t="shared" si="21"/>
        <v>0</v>
      </c>
      <c r="BM9" s="1">
        <f t="shared" si="5"/>
        <v>0</v>
      </c>
      <c r="BN9" s="28" t="str">
        <f t="shared" si="8"/>
        <v xml:space="preserve"> </v>
      </c>
      <c r="BO9" s="28">
        <f t="shared" si="6"/>
        <v>0</v>
      </c>
      <c r="BP9" s="28" t="str">
        <f t="shared" si="7"/>
        <v xml:space="preserve"> </v>
      </c>
      <c r="BQ9" s="23"/>
      <c r="BR9" s="1">
        <f t="shared" ref="BR9:CA9" si="22">SUM(BR6:BR8)</f>
        <v>0</v>
      </c>
      <c r="BS9" s="1">
        <f t="shared" si="22"/>
        <v>0</v>
      </c>
      <c r="BT9" s="1">
        <f t="shared" si="22"/>
        <v>0</v>
      </c>
      <c r="BU9" s="1">
        <f t="shared" si="22"/>
        <v>0</v>
      </c>
      <c r="BV9" s="1">
        <f t="shared" si="22"/>
        <v>0</v>
      </c>
      <c r="BW9" s="1">
        <f t="shared" si="22"/>
        <v>0</v>
      </c>
      <c r="BX9" s="1">
        <f t="shared" si="22"/>
        <v>0</v>
      </c>
      <c r="BY9" s="1">
        <f t="shared" si="22"/>
        <v>0</v>
      </c>
      <c r="BZ9" s="1">
        <f t="shared" si="22"/>
        <v>0</v>
      </c>
      <c r="CA9" s="1">
        <f t="shared" si="22"/>
        <v>0</v>
      </c>
      <c r="CB9" s="24"/>
      <c r="CC9" s="25"/>
      <c r="CD9" s="1">
        <f t="shared" ref="CD9:CJ9" si="23">SUM(CD6:CD8)</f>
        <v>0</v>
      </c>
      <c r="CE9" s="1">
        <f t="shared" si="23"/>
        <v>0</v>
      </c>
      <c r="CF9" s="1">
        <f t="shared" si="23"/>
        <v>0</v>
      </c>
      <c r="CG9" s="1">
        <f t="shared" si="23"/>
        <v>0</v>
      </c>
      <c r="CH9" s="1">
        <f t="shared" si="23"/>
        <v>0</v>
      </c>
      <c r="CI9" s="1">
        <f t="shared" si="23"/>
        <v>0</v>
      </c>
      <c r="CJ9" s="1">
        <f t="shared" si="23"/>
        <v>0</v>
      </c>
      <c r="CK9" s="26"/>
    </row>
    <row r="10" spans="1:89" ht="14.4" customHeight="1" x14ac:dyDescent="0.3">
      <c r="A10" s="7" t="s">
        <v>75</v>
      </c>
      <c r="B10" s="8">
        <f>COUNTIFS([1]Manifestações!$A$2:$A$2000,"mail",[1]Manifestações!$B$2:$B$2000,"&gt;=01/07/2024",[1]Manifestações!$B$2:$B$2000,"&lt;01/08/2024",[1]Manifestações!$F$2:$F$2000, "&lt;&gt;Comunicação")</f>
        <v>0</v>
      </c>
      <c r="C10" s="9">
        <f>COUNTIFS([1]Manifestações!$A$2:$A$2000,"mail",[1]Manifestações!$B$2:$B$2000,"&gt;=01/07/2024",[1]Manifestações!$B$2:$B$2000,"&lt;01/08/2024",[1]Manifestações!$L$2:$L$2000,"Finalizada",[1]Manifestações!$F$2:$F$2000, "&lt;&gt;Comunicação")</f>
        <v>0</v>
      </c>
      <c r="D10" s="8">
        <f>COUNTIFS([1]Manifestações!$A$2:$A$2000,"ouv",[1]Manifestações!$B$2:$B$2000,"&gt;=01/07/2024",[1]Manifestações!$B$2:$B$2000,"&lt;01/08/2024",[1]Manifestações!$F$2:$F$2000, "&lt;&gt;Comunicação")</f>
        <v>0</v>
      </c>
      <c r="E10" s="9">
        <f>COUNTIFS([1]Manifestações!$A$2:$A$2000,"ouv",[1]Manifestações!$B$2:$B$2000,"&gt;=01/07/2024",[1]Manifestações!$B$2:$B$2000,"&lt;01/08/2024",[1]Manifestações!$L$2:$L$2000,"Finalizada",[1]Manifestações!$F$2:$F$2000, "&lt;&gt;Comunicação")</f>
        <v>0</v>
      </c>
      <c r="F10" s="8">
        <f>COUNTIFS([1]Manifestações!$A$2:$A$2000,"sic",[1]Manifestações!$B$2:$B$2000,"&gt;=01/07/2024",[1]Manifestações!$B$2:$B$2000,"&lt;01/08/2024")</f>
        <v>0</v>
      </c>
      <c r="G10" s="9">
        <f>COUNTIFS([1]Manifestações!$A$2:$A$2000,"sic",[1]Manifestações!$B$2:$B$2000,"&gt;=01/07/2024",[1]Manifestações!$B$2:$B$2000,"&lt;01/08/2024",[1]Manifestações!$L$2:$L$2000,"Finalizada")</f>
        <v>0</v>
      </c>
      <c r="H10" s="8">
        <f t="shared" ref="H10:I12" si="24">SUM(B10,D10,F10)</f>
        <v>0</v>
      </c>
      <c r="I10" s="9">
        <f t="shared" si="24"/>
        <v>0</v>
      </c>
      <c r="J10" s="10" t="str">
        <f>IF(B10&gt;0,C10/B10*100," ")</f>
        <v xml:space="preserve"> </v>
      </c>
      <c r="K10" s="11" t="str">
        <f>IF(D10&gt;0,E10/D10*100," ")</f>
        <v xml:space="preserve"> </v>
      </c>
      <c r="L10" s="10" t="str">
        <f>IF(F10&gt;0,G10/F10*100," ")</f>
        <v xml:space="preserve"> </v>
      </c>
      <c r="M10" s="11" t="str">
        <f>IF(I10&gt;0,SUM(C10,E10,G10)/SUM(B10,D10,F10)*100," ")</f>
        <v xml:space="preserve"> </v>
      </c>
      <c r="N10" s="21"/>
      <c r="O10" s="9">
        <f>COUNTIFS([1]Manifestações!$F$2:$F$2000,"denúncia",[1]Manifestações!$B$2:$B$2000,"&gt;=01/07/2024",[1]Manifestações!$B$2:$B$2000,"&lt;01/08/2024")</f>
        <v>0</v>
      </c>
      <c r="P10" s="8">
        <f>COUNTIFS([1]Manifestações!$F$2:$F$2000,"reclamação",[1]Manifestações!$B$2:$B$2000,"&gt;=01/07/2024",[1]Manifestações!$B$2:$B$2000,"&lt;01/08/2024")</f>
        <v>0</v>
      </c>
      <c r="Q10" s="9">
        <f>COUNTIFS([1]Manifestações!$F$2:$F$2000,"solicitação",[1]Manifestações!$B$2:$B$2000,"&gt;=01/07/2024",[1]Manifestações!$B$2:$B$2000,"&lt;01/08/2024")</f>
        <v>0</v>
      </c>
      <c r="R10" s="8">
        <f>COUNTIFS([1]Manifestações!$F$2:$F$2000,"sugestão",[1]Manifestações!$B$2:$B$2000,"&gt;=01/07/2024",[1]Manifestações!$B$2:$B$2000,"&lt;01/08/2024")</f>
        <v>0</v>
      </c>
      <c r="S10" s="9">
        <f>COUNTIFS([1]Manifestações!$F$2:$F$2000,"elogio",[1]Manifestações!$B$2:$B$2000,"&gt;=01/07/2024",[1]Manifestações!$B$2:$B$2000,"&lt;01/08/2024")</f>
        <v>0</v>
      </c>
      <c r="T10" s="8">
        <f>COUNTIFS([1]Manifestações!$F$2:$F$2000,"simplifique",[1]Manifestações!$B$2:$B$2000,"&gt;=01/07/2024",[1]Manifestações!$B$2:$B$2000,"&lt;01/08/2024")</f>
        <v>0</v>
      </c>
      <c r="U10" s="9">
        <f>COUNTIFS([1]Manifestações!$F$2:$F$2000,"comunicação",[1]Manifestações!$B$2:$B$2000,"&gt;=01/07/2024",[1]Manifestações!$B$2:$B$2000,"&lt;01/08/2024")</f>
        <v>0</v>
      </c>
      <c r="V10" s="8">
        <f>COUNTIFS([1]Manifestações!$G$2:$G$2000,"Acesso à informação",[1]Manifestações!$B$2:$B$2000,"&gt;=01/07/2024",[1]Manifestações!$B$2:$B$2000,"&lt;01/08/2024")</f>
        <v>0</v>
      </c>
      <c r="W10" s="9">
        <f>COUNTIFS([1]Manifestações!$G$2:$G$2000,"Acesso à informação",[1]Manifestações!$B$2:$B$2000,"&gt;=01/07/2024",[1]Manifestações!$B$2:$B$2000,"&lt;01/08/2024",[1]Manifestações!$L$2:$L$2000,"Finalizada")</f>
        <v>0</v>
      </c>
      <c r="X10" s="9">
        <f>COUNTIFS([1]Manifestações!$F$2:$F$2000,"Atendimento Presencial",[1]Manifestações!$B$2:$B$2000,"&gt;=01/07/2024",[1]Manifestações!$B$2:$B$2000,"&lt;01/08/2024")</f>
        <v>0</v>
      </c>
      <c r="Y10" s="22"/>
      <c r="Z10" s="14">
        <f>COUNTIFS('[1]Atendimentos Telefônicos'!$A$2:$A$2000,"&gt;=01/07/2024",'[1]Atendimentos Telefônicos'!$A$2:$A$2000,"&lt;01/08/2024")</f>
        <v>0</v>
      </c>
      <c r="AA10" s="15">
        <f>SUMIFS('[1]Atendimentos Telefônicos'!$I$2:$I$2000,'[1]Atendimentos Telefônicos'!$A$2:$A$2000,"&gt;=01/07/2024",'[1]Atendimentos Telefônicos'!$A$2:$A$2000,"&lt;01/08/2024")</f>
        <v>0</v>
      </c>
      <c r="AB10" s="22"/>
      <c r="AC10" s="11" t="str">
        <f>IFERROR(AVERAGEIFS([1]Manifestações!$M$2:$M$2000,[1]Manifestações!$A$2:$A$2000,"mail",[1]Manifestações!$M$2:$M$2000,"&gt;=0",[1]Manifestações!$B$2:$B$2000,"&gt;=01/07/2024",[1]Manifestações!$B$2:$B$2000,"&lt;01/08/2024",[1]Manifestações!$F$2:$F$2000, "&lt;&gt;Comunicação")," ")</f>
        <v xml:space="preserve"> </v>
      </c>
      <c r="AD10" s="16" t="str">
        <f>IFERROR(AVERAGEIFS([1]Manifestações!$M$2:$M$2000,[1]Manifestações!$A$2:$A$2000,"ouv",[1]Manifestações!$M$2:$M$2000,"&gt;=0",[1]Manifestações!$B$2:$B$2000,"&gt;=01/07/2024",[1]Manifestações!$B$2:$B$2000,"&lt;01/08/2024",[1]Manifestações!$F$2:$F$2000, "&lt;&gt;Comunicação")," ")</f>
        <v xml:space="preserve"> </v>
      </c>
      <c r="AE10" s="11" t="str">
        <f>IFERROR(AVERAGEIFS([1]Manifestações!$M$2:$M$2000,[1]Manifestações!$A$2:$A$2000,"sic",[1]Manifestações!$M$2:$M$2000,"&gt;=0",[1]Manifestações!$B$2:$B$2000,"&gt;=01/07/2024",[1]Manifestações!$B$2:$B$2000,"&lt;01/08/2024",[1]Manifestações!$F$2:$F$2000, "&lt;&gt;Comunicação")," ")</f>
        <v xml:space="preserve"> </v>
      </c>
      <c r="AF10" s="16" t="str">
        <f>IFERROR(AVERAGEIFS([1]Manifestações!$M$2:$M$2000,[1]Manifestações!$M$2:$M$2000,"&gt;=0",[1]Manifestações!$B$2:$B$2000,"&gt;=01/07/2024",[1]Manifestações!$B$2:$B$2000,"&lt;01/08/2024",[1]Manifestações!$F$2:$F$2000, "&lt;&gt;Comunicação")," ")</f>
        <v xml:space="preserve"> </v>
      </c>
      <c r="AG10" s="15" t="str">
        <f t="shared" si="11"/>
        <v xml:space="preserve"> </v>
      </c>
      <c r="AH10" s="16" t="str">
        <f>IFERROR(AVERAGEIFS([1]Manifestações!$M$2:$M$2000,[1]Manifestações!$G$2:$G$2000,"Acesso à informação",[1]Manifestações!$M$2:$M$2000,"&gt;=0",[1]Manifestações!$B$2:$B$2000,"&gt;=01/07/2024",[1]Manifestações!$B$2:$B$2000,"&lt;01/08/2024",[1]Manifestações!$F$2:$F$2000, "&lt;&gt;Comunicação")," ")</f>
        <v xml:space="preserve"> </v>
      </c>
      <c r="AI10" s="22"/>
      <c r="AJ10" s="9">
        <f>COUNTIFS([1]Manifestações!$A$2:$A$2000,"mail",[1]Manifestações!$H$2:$H$2000,"física",[1]Manifestações!$B$2:$B$2000,"&gt;=01/07/2024",[1]Manifestações!$B$2:$B$2000,"&lt;01/08/2024")</f>
        <v>0</v>
      </c>
      <c r="AK10" s="8">
        <f>COUNTIFS([1]Manifestações!$A$2:$A$2000,"mail",[1]Manifestações!$H$2:$H$2000,"jurídica",[1]Manifestações!$B$2:$B$2000,"&gt;=01/07/2024",[1]Manifestações!$B$2:$B$2000,"&lt;01/08/2024")</f>
        <v>0</v>
      </c>
      <c r="AL10" s="9">
        <f>COUNTIFS([1]Manifestações!$A$2:$A$2000,"ouv",[1]Manifestações!$H$2:$H$2000,"física",[1]Manifestações!$B$2:$B$2000,"&gt;=01/07/2024",[1]Manifestações!$B$2:$B$2000,"&lt;01/08/2024")</f>
        <v>0</v>
      </c>
      <c r="AM10" s="8">
        <f>COUNTIFS([1]Manifestações!$A$2:$A$2000,"ouv",[1]Manifestações!$H$2:$H$2000,"jurídica",[1]Manifestações!$B$2:$B$2000,"&gt;=01/07/2024",[1]Manifestações!$B$2:$B$2000,"&lt;01/08/2024")</f>
        <v>0</v>
      </c>
      <c r="AN10" s="9">
        <f>COUNTIFS([1]Manifestações!$A$2:$A$2000,"sic",[1]Manifestações!$H$2:$H$2000,"física",[1]Manifestações!$B$2:$B$2000,"&gt;=01/07/2024",[1]Manifestações!$B$2:$B$2000,"&lt;01/08/2024")</f>
        <v>0</v>
      </c>
      <c r="AO10" s="8">
        <f>COUNTIFS([1]Manifestações!$A$2:$A$2000,"sic",[1]Manifestações!$H$2:$H$2000,"jurídica",[1]Manifestações!$B$2:$B$2000,"&gt;=01/07/2024",[1]Manifestações!$B$2:$B$2000,"&lt;01/08/2024")</f>
        <v>0</v>
      </c>
      <c r="AP10" s="9">
        <f>COUNTIFS([1]Manifestações!$A$2:$A$2000,"presencial",[1]Manifestações!$H$2:$H$2000,"física",[1]Manifestações!$B$2:$B$2000,"&gt;=01/07/2024",[1]Manifestações!$B$2:$B$2000,"&lt;01/08/2024")</f>
        <v>0</v>
      </c>
      <c r="AQ10" s="8">
        <f>COUNTIFS([1]Manifestações!$A$2:$A$2000,"presencial",[1]Manifestações!$H$2:$H$2000,"jurídica",[1]Manifestações!$B$2:$B$2000,"&gt;=01/07/2024",[1]Manifestações!$B$2:$B$2000,"&lt;01/08/2024")</f>
        <v>0</v>
      </c>
      <c r="AR10" s="9">
        <f>COUNTIFS([1]Manifestações!$H$2:$H$2000,"física",[1]Manifestações!$B$2:$B$2000,"&gt;=01/07/2024",[1]Manifestações!$B$2:$B$2000,"&lt;01/08/2024")</f>
        <v>0</v>
      </c>
      <c r="AS10" s="10">
        <f>COUNTIFS([1]Manifestações!$H$2:$H$2000,"jurídica",[1]Manifestações!$B$2:$B$2000,"&gt;=01/07/2024",[1]Manifestações!$B$2:$B$2000,"&lt;01/08/2024")</f>
        <v>0</v>
      </c>
      <c r="AT10" s="9">
        <f>COUNTIFS('[1]Atendimentos Telefônicos'!$E$2:$E$2000,"Física",'[1]Atendimentos Telefônicos'!$A$2:$A$2000,"&gt;=01/07/2024",'[1]Atendimentos Telefônicos'!$A$2:$A$2000,"&lt;01/08/2024")</f>
        <v>0</v>
      </c>
      <c r="AU10" s="8">
        <f>COUNTIFS('[1]Atendimentos Telefônicos'!$E$2:$E$2000,"Jurídica",'[1]Atendimentos Telefônicos'!$A$2:$A$2000,"&gt;=01/07/2024",'[1]Atendimentos Telefônicos'!$A$2:$A$2000,"&lt;01/08/2024")</f>
        <v>0</v>
      </c>
      <c r="AV10" s="9">
        <f t="shared" si="1"/>
        <v>0</v>
      </c>
      <c r="AW10" s="11" t="str">
        <f t="shared" si="2"/>
        <v xml:space="preserve"> </v>
      </c>
      <c r="AX10" s="10">
        <f t="shared" si="3"/>
        <v>0</v>
      </c>
      <c r="AY10" s="10" t="str">
        <f t="shared" si="4"/>
        <v xml:space="preserve"> </v>
      </c>
      <c r="AZ10" s="22"/>
      <c r="BA10" s="9">
        <f>COUNTIFS([1]Manifestações!$A$2:$A$2000,"mail",[1]Manifestações!$I$2:$I$2000,"Feminino",[1]Manifestações!$B$2:$B$2000,"&gt;=01/07/2024",[1]Manifestações!$B$2:$B$2000,"&lt;01/08/2024")</f>
        <v>0</v>
      </c>
      <c r="BB10" s="8">
        <f>COUNTIFS([1]Manifestações!$A$2:$A$2000,"mail",[1]Manifestações!$I$2:$I$2000,"Masculino",[1]Manifestações!$B$2:$B$2000,"&gt;=01/07/2024",[1]Manifestações!$B$2:$B$2000,"&lt;01/08/2024")</f>
        <v>0</v>
      </c>
      <c r="BC10" s="9">
        <f>COUNTIFS([1]Manifestações!$A$2:$A$2000,"ouv",[1]Manifestações!$I$2:$I$2000,"Feminino",[1]Manifestações!$B$2:$B$2000,"&gt;=01/07/2024",[1]Manifestações!$B$2:$B$2000,"&lt;01/08/2024")</f>
        <v>0</v>
      </c>
      <c r="BD10" s="8">
        <f>COUNTIFS([1]Manifestações!$A$2:$A$2000,"ouv",[1]Manifestações!$I$2:$I$2000,"Masculino",[1]Manifestações!$B$2:$B$2000,"&gt;=01/07/2024",[1]Manifestações!$B$2:$B$2000,"&lt;01/08/2024")</f>
        <v>0</v>
      </c>
      <c r="BE10" s="9">
        <f>COUNTIFS([1]Manifestações!$A$2:$A$2000,"sic",[1]Manifestações!$I$2:$I$2000,"Feminino",[1]Manifestações!$B$2:$B$2000,"&gt;=01/07/2024",[1]Manifestações!$B$2:$B$2000,"&lt;01/08/2024")</f>
        <v>0</v>
      </c>
      <c r="BF10" s="8">
        <f>COUNTIFS([1]Manifestações!$A$2:$A$2000,"sic",[1]Manifestações!$I$2:$I$2000,"Masculino",[1]Manifestações!$B$2:$B$2000,"&gt;=01/07/2024",[1]Manifestações!$B$2:$B$2000,"&lt;01/08/2024")</f>
        <v>0</v>
      </c>
      <c r="BG10" s="9">
        <f>COUNTIFS([1]Manifestações!$A$2:$A$2000,"presencial",[1]Manifestações!$I$2:$I$2000,"Feminino",[1]Manifestações!$B$2:$B$2000,"&gt;=01/07/2024",[1]Manifestações!$B$2:$B$2000,"&lt;01/08/2024")</f>
        <v>0</v>
      </c>
      <c r="BH10" s="8">
        <f>COUNTIFS([1]Manifestações!$A$2:$A$2000,"presencial",[1]Manifestações!$I$2:$I$2000,"Masculino",[1]Manifestações!$B$2:$B$2000,"&gt;=01/07/2024",[1]Manifestações!$B$2:$B$2000,"&lt;01/08/2024")</f>
        <v>0</v>
      </c>
      <c r="BI10" s="9">
        <f>COUNTIFS([1]Manifestações!$I$2:$I$2000,"Feminino",[1]Manifestações!$B$2:$B$2000,"&gt;=01/07/2024",[1]Manifestações!$B$2:$B$2000,"&lt;01/08/2024")</f>
        <v>0</v>
      </c>
      <c r="BJ10" s="10">
        <f>COUNTIFS([1]Manifestações!$I$2:$I$2000,"Masculino",[1]Manifestações!$B$2:$B$2000,"&gt;=01/07/2024",[1]Manifestações!$B$2:$B$2000,"&lt;01/08/2024")</f>
        <v>0</v>
      </c>
      <c r="BK10" s="9">
        <f>COUNTIFS('[1]Atendimentos Telefônicos'!$F$2:$F$2000,"Feminino",'[1]Atendimentos Telefônicos'!$A$2:$A$2000,"&gt;=01/07/2024",'[1]Atendimentos Telefônicos'!$A$2:$A$2000,"&lt;01/08/2024")</f>
        <v>0</v>
      </c>
      <c r="BL10" s="8">
        <f>COUNTIFS('[1]Atendimentos Telefônicos'!$F$2:$F$2000,"Masculino",'[1]Atendimentos Telefônicos'!$A$2:$A$2000,"&gt;=01/07/2024",'[1]Atendimentos Telefônicos'!$A$2:$A$2000,"&lt;01/08/2024")</f>
        <v>0</v>
      </c>
      <c r="BM10" s="9">
        <f t="shared" si="5"/>
        <v>0</v>
      </c>
      <c r="BN10" s="11" t="str">
        <f t="shared" si="8"/>
        <v xml:space="preserve"> </v>
      </c>
      <c r="BO10" s="10">
        <f t="shared" si="6"/>
        <v>0</v>
      </c>
      <c r="BP10" s="10" t="str">
        <f t="shared" si="7"/>
        <v xml:space="preserve"> </v>
      </c>
      <c r="BQ10" s="23"/>
      <c r="BR10" s="9">
        <f>COUNTIFS([1]Manifestações!$A$2:$A$2000,"mail",[1]Manifestações!$F$2:$F$2000,"solicitação",[1]Manifestações!$B$2:$B$2000,"&gt;=01/07/2024",[1]Manifestações!$B$2:$B$2000,"&lt;01/08/2024")</f>
        <v>0</v>
      </c>
      <c r="BS10" s="8">
        <f>COUNTIFS([1]Manifestações!$A$2:$A$2000,"mail",[1]Manifestações!$F$2:$F$2000,"reclamação",[1]Manifestações!$B$2:$B$2000,"&gt;=01/07/2024",[1]Manifestações!$B$2:$B$2000,"&lt;01/08/2024")</f>
        <v>0</v>
      </c>
      <c r="BT10" s="9">
        <f>COUNTIFS([1]Manifestações!$A$2:$A$2000,"mail",[1]Manifestações!$F$2:$F$2000,"denúncia",[1]Manifestações!$B$2:$B$2000,"&gt;=01/07/2024",[1]Manifestações!$B$2:$B$2000,"&lt;01/08/2024")</f>
        <v>0</v>
      </c>
      <c r="BU10" s="8">
        <f>COUNTIFS([1]Manifestações!$A$2:$A$2000,"mail",[1]Manifestações!$F$2:$F$2000,"sugestão",[1]Manifestações!$B$2:$B$2000,"&gt;=01/07/2024",[1]Manifestações!$B$2:$B$2000,"&lt;01/08/2024")</f>
        <v>0</v>
      </c>
      <c r="BV10" s="9">
        <f>COUNTIFS([1]Manifestações!$A$2:$A$2000,"mail",[1]Manifestações!$F$2:$F$2000,"elogio",[1]Manifestações!$B$2:$B$2000,"&gt;=01/07/2024",[1]Manifestações!$B$2:$B$2000,"&lt;01/08/2024")</f>
        <v>0</v>
      </c>
      <c r="BW10" s="8">
        <f>COUNTIFS([1]Manifestações!$A$2:$A$2000,"mail",[1]Manifestações!$F$2:$F$2000,"simplifique",[1]Manifestações!$B$2:$B$2000,"&gt;=01/07/2024",[1]Manifestações!$B$2:$B$2000,"&lt;01/08/2024")</f>
        <v>0</v>
      </c>
      <c r="BX10" s="9">
        <f>COUNTIFS([1]Manifestações!$A$2:$A$2000,"mail",[1]Manifestações!$D$2:$D$2000,"&lt;&gt;*Fale*",[1]Manifestações!$D$2:$D$2000,"&lt;&gt;*Redes*",[1]Manifestações!$B$2:$B$2000,"&gt;=01/07/2024",[1]Manifestações!$B$2:$B$2000,"&lt;01/08/2024")</f>
        <v>0</v>
      </c>
      <c r="BY10" s="9">
        <f>COUNTIFS([1]Manifestações!$A$2:$A$2000,"mail",[1]Manifestações!$D$2:$D$2000,"*Redes*",[1]Manifestações!$B$2:$B$2000,"&gt;=01/07/2024",[1]Manifestações!$B$2:$B$2000,"&lt;01/08/2024")</f>
        <v>0</v>
      </c>
      <c r="BZ10" s="9">
        <f>COUNTIFS([1]Manifestações!$A$2:$A$2000,"mail",[1]Manifestações!$D$2:$D$2000,"*Fale*",[1]Manifestações!$B$2:$B$2000,"&gt;=01/07/2024",[1]Manifestações!$B$2:$B$2000,"&lt;01/08/2024")</f>
        <v>0</v>
      </c>
      <c r="CA10" s="8">
        <f>COUNTIFS([1]Manifestações!$A$2:$A$2000,"mail",[1]Manifestações!$F$2:$F$2000,"comunicação",[1]Manifestações!$B$2:$B$2000,"&gt;=01/07/2024",[1]Manifestações!$B$2:$B$2000,"&lt;01/08/2024")</f>
        <v>0</v>
      </c>
      <c r="CB10" s="24"/>
      <c r="CC10" s="25"/>
      <c r="CD10" s="9">
        <f>COUNTIFS([1]Manifestações!$A$2:$A$2000,"ouv",[1]Manifestações!$F$2:$F$2000,"denúncia",[1]Manifestações!$B$2:$B$2000,"&gt;=01/07/2024",[1]Manifestações!$B$2:$B$2000,"&lt;01/08/2024")</f>
        <v>0</v>
      </c>
      <c r="CE10" s="8">
        <f>COUNTIFS([1]Manifestações!$A$2:$A$2000,"ouv",[1]Manifestações!$F$2:$F$2000,"reclamação",[1]Manifestações!$B$2:$B$2000,"&gt;=01/07/2024",[1]Manifestações!$B$2:$B$2000,"&lt;01/08/2024")</f>
        <v>0</v>
      </c>
      <c r="CF10" s="9">
        <f>COUNTIFS([1]Manifestações!$A$2:$A$2000,"ouv",[1]Manifestações!$F$2:$F$2000,"solicitação",[1]Manifestações!$B$2:$B$2000,"&gt;=01/07/2024",[1]Manifestações!$B$2:$B$2000,"&lt;01/08/2024")</f>
        <v>0</v>
      </c>
      <c r="CG10" s="8">
        <f>COUNTIFS([1]Manifestações!$A$2:$A$2000,"ouv",[1]Manifestações!$F$2:$F$2000,"sugestão",[1]Manifestações!$B$2:$B$2000,"&gt;=01/07/2024",[1]Manifestações!$B$2:$B$2000,"&lt;01/08/2024")</f>
        <v>0</v>
      </c>
      <c r="CH10" s="9">
        <f>COUNTIFS([1]Manifestações!$A$2:$A$2000,"ouv",[1]Manifestações!$F$2:$F$2000,"elogio",[1]Manifestações!$B$2:$B$2000,"&gt;=01/07/2024",[1]Manifestações!$B$2:$B$2000,"&lt;01/08/2024")</f>
        <v>0</v>
      </c>
      <c r="CI10" s="8">
        <f>COUNTIFS([1]Manifestações!$A$2:$A$2000,"ouv",[1]Manifestações!$F$2:$F$2000,"comunicação",[1]Manifestações!$B$2:$B$2000,"&gt;=01/07/2024",[1]Manifestações!$B$2:$B$2000,"&lt;01/08/2024")</f>
        <v>0</v>
      </c>
      <c r="CJ10" s="14">
        <f>COUNTIFS([1]Manifestações!$A$2:$A$2000,"ouv",[1]Manifestações!$F$2:$F$2000,"simplifique",[1]Manifestações!$B$2:$B$2000,"&gt;=01/07/2024",[1]Manifestações!$B$2:$B$2000,"&lt;01/08/2024")</f>
        <v>0</v>
      </c>
      <c r="CK10" s="26"/>
    </row>
    <row r="11" spans="1:89" ht="14.4" customHeight="1" x14ac:dyDescent="0.3">
      <c r="A11" s="7" t="s">
        <v>76</v>
      </c>
      <c r="B11" s="8">
        <f>COUNTIFS([1]Manifestações!$A$2:$A$2000,"mail",[1]Manifestações!$B$2:$B$2000,"&gt;=01/08/2024",[1]Manifestações!$B$2:$B$2000,"&lt;01/09/2024",[1]Manifestações!$F$2:$F$2000, "&lt;&gt;Comunicação")</f>
        <v>0</v>
      </c>
      <c r="C11" s="9">
        <f>COUNTIFS([1]Manifestações!$A$2:$A$2000,"mail",[1]Manifestações!$B$2:$B$2000,"&gt;=01/08/2024",[1]Manifestações!$B$2:$B$2000,"&lt;01/09/2024",[1]Manifestações!$L$2:$L$2000,"Finalizada",[1]Manifestações!$F$2:$F$2000, "&lt;&gt;Comunicação")</f>
        <v>0</v>
      </c>
      <c r="D11" s="8">
        <f>COUNTIFS([1]Manifestações!$A$2:$A$2000,"ouv",[1]Manifestações!$B$2:$B$2000,"&gt;=01/08/2024",[1]Manifestações!$B$2:$B$2000,"&lt;01/09/2024",[1]Manifestações!$F$2:$F$2000, "&lt;&gt;Comunicação")</f>
        <v>0</v>
      </c>
      <c r="E11" s="9">
        <f>COUNTIFS([1]Manifestações!$A$2:$A$2000,"ouv",[1]Manifestações!$B$2:$B$2000,"&gt;=01/08/2024",[1]Manifestações!$B$2:$B$2000,"&lt;01/09/2024",[1]Manifestações!$L$2:$L$2000,"Finalizada",[1]Manifestações!$F$2:$F$2000, "&lt;&gt;Comunicação")</f>
        <v>0</v>
      </c>
      <c r="F11" s="8">
        <f>COUNTIFS([1]Manifestações!$A$2:$A$2000,"sic",[1]Manifestações!$B$2:$B$2000,"&gt;=01/08/2024",[1]Manifestações!$B$2:$B$2000,"&lt;01/09/2024")</f>
        <v>0</v>
      </c>
      <c r="G11" s="9">
        <f>COUNTIFS([1]Manifestações!$A$2:$A$2000,"sic",[1]Manifestações!$B$2:$B$2000,"&gt;=01/08/2024",[1]Manifestações!$B$2:$B$2000,"&lt;01/09/2024",[1]Manifestações!$L$2:$L$2000,"Finalizada")</f>
        <v>0</v>
      </c>
      <c r="H11" s="8">
        <f t="shared" si="24"/>
        <v>0</v>
      </c>
      <c r="I11" s="9">
        <f t="shared" si="24"/>
        <v>0</v>
      </c>
      <c r="J11" s="10" t="str">
        <f>IF(B11&gt;0,C11/B11*100," ")</f>
        <v xml:space="preserve"> </v>
      </c>
      <c r="K11" s="11" t="str">
        <f>IF(D11&gt;0,E11/D11*100," ")</f>
        <v xml:space="preserve"> </v>
      </c>
      <c r="L11" s="10" t="str">
        <f>IF(F11&gt;0,G11/F11*100," ")</f>
        <v xml:space="preserve"> </v>
      </c>
      <c r="M11" s="11" t="str">
        <f>IF(I11&gt;0,SUM(C11,E11,G11)/SUM(B11,D11,F11)*100," ")</f>
        <v xml:space="preserve"> </v>
      </c>
      <c r="N11" s="21"/>
      <c r="O11" s="9">
        <f>COUNTIFS([1]Manifestações!$F$2:$F$2000,"denúncia",[1]Manifestações!$B$2:$B$2000,"&gt;=01/08/2024",[1]Manifestações!$B$2:$B$2000,"&lt;01/09/2024")</f>
        <v>0</v>
      </c>
      <c r="P11" s="8">
        <f>COUNTIFS([1]Manifestações!$F$2:$F$2000,"reclamação",[1]Manifestações!$B$2:$B$2000,"&gt;=01/08/2024",[1]Manifestações!$B$2:$B$2000,"&lt;01/09/2024")</f>
        <v>0</v>
      </c>
      <c r="Q11" s="9">
        <f>COUNTIFS([1]Manifestações!$F$2:$F$2000,"solicitação",[1]Manifestações!$B$2:$B$2000,"&gt;=01/08/2024",[1]Manifestações!$B$2:$B$2000,"&lt;01/09/2024")</f>
        <v>0</v>
      </c>
      <c r="R11" s="8">
        <f>COUNTIFS([1]Manifestações!$F$2:$F$2000,"sugestão",[1]Manifestações!$B$2:$B$2000,"&gt;=01/08/2024",[1]Manifestações!$B$2:$B$2000,"&lt;01/09/2024")</f>
        <v>0</v>
      </c>
      <c r="S11" s="9">
        <f>COUNTIFS([1]Manifestações!$F$2:$F$2000,"elogio",[1]Manifestações!$B$2:$B$2000,"&gt;=01/08/2024",[1]Manifestações!$B$2:$B$2000,"&lt;01/09/2024")</f>
        <v>0</v>
      </c>
      <c r="T11" s="8">
        <f>COUNTIFS([1]Manifestações!$F$2:$F$2000,"simplifique",[1]Manifestações!$B$2:$B$2000,"&gt;=01/08/2024",[1]Manifestações!$B$2:$B$2000,"&lt;01/09/2024")</f>
        <v>0</v>
      </c>
      <c r="U11" s="9">
        <f>COUNTIFS([1]Manifestações!$F$2:$F$2000,"comunicação",[1]Manifestações!$B$2:$B$2000,"&gt;=01/08/2024",[1]Manifestações!$B$2:$B$2000,"&lt;01/09/2024")</f>
        <v>0</v>
      </c>
      <c r="V11" s="8">
        <f>COUNTIFS([1]Manifestações!$G$2:$G$2000,"Acesso à informação",[1]Manifestações!$B$2:$B$2000,"&gt;=01/08/2024",[1]Manifestações!$B$2:$B$2000,"&lt;01/09/2024")</f>
        <v>0</v>
      </c>
      <c r="W11" s="9">
        <f>COUNTIFS([1]Manifestações!$G$2:$G$2000,"Acesso à informação",[1]Manifestações!$B$2:$B$2000,"&gt;=01/08/2024",[1]Manifestações!$B$2:$B$2000,"&lt;01/09/2024",[1]Manifestações!$L$2:$L$2000,"Finalizada")</f>
        <v>0</v>
      </c>
      <c r="X11" s="9">
        <f>COUNTIFS([1]Manifestações!$F$2:$F$2000,"Atendimento Presencial",[1]Manifestações!$B$2:$B$2000,"&gt;=01/08/2024",[1]Manifestações!$B$2:$B$2000,"&lt;01/09/2024")</f>
        <v>0</v>
      </c>
      <c r="Y11" s="22"/>
      <c r="Z11" s="14">
        <f>COUNTIFS('[1]Atendimentos Telefônicos'!$A$2:$A$2000,"&gt;=01/08/2024",'[1]Atendimentos Telefônicos'!$A$2:$A$2000,"&lt;01/09/2024")</f>
        <v>0</v>
      </c>
      <c r="AA11" s="15">
        <f>SUMIFS('[1]Atendimentos Telefônicos'!$I$2:$I$2000,'[1]Atendimentos Telefônicos'!$A$2:$A$2000,"&gt;=01/08/2024",'[1]Atendimentos Telefônicos'!$A$2:$A$2000,"&lt;01/09/2024")</f>
        <v>0</v>
      </c>
      <c r="AB11" s="22"/>
      <c r="AC11" s="11" t="str">
        <f>IFERROR(AVERAGEIFS([1]Manifestações!$M$2:$M$2000,[1]Manifestações!$A$2:$A$2000,"mail",[1]Manifestações!$M$2:$M$2000,"&gt;=0",[1]Manifestações!$B$2:$B$2000,"&gt;=01/08/2024",[1]Manifestações!$B$2:$B$2000,"&lt;01/09/2024",[1]Manifestações!$F$2:$F$2000, "&lt;&gt;Comunicação")," ")</f>
        <v xml:space="preserve"> </v>
      </c>
      <c r="AD11" s="16" t="str">
        <f>IFERROR(AVERAGEIFS([1]Manifestações!$M$2:$M$2000,[1]Manifestações!$A$2:$A$2000,"ouv",[1]Manifestações!$M$2:$M$2000,"&gt;=0",[1]Manifestações!$B$2:$B$2000,"&gt;=01/08/2024",[1]Manifestações!$B$2:$B$2000,"&lt;01/09/2024",[1]Manifestações!$F$2:$F$2000, "&lt;&gt;Comunicação")," ")</f>
        <v xml:space="preserve"> </v>
      </c>
      <c r="AE11" s="11" t="str">
        <f>IFERROR(AVERAGEIFS([1]Manifestações!$M$2:$M$2000,[1]Manifestações!$A$2:$A$2000,"sic",[1]Manifestações!$M$2:$M$2000,"&gt;=0",[1]Manifestações!$B$2:$B$2000,"&gt;=01/08/2024",[1]Manifestações!$B$2:$B$2000,"&lt;01/09/2024",[1]Manifestações!$F$2:$F$2000, "&lt;&gt;Comunicação")," ")</f>
        <v xml:space="preserve"> </v>
      </c>
      <c r="AF11" s="16" t="str">
        <f>IFERROR(AVERAGEIFS([1]Manifestações!$M$2:$M$2000,[1]Manifestações!$M$2:$M$2000,"&gt;=0",[1]Manifestações!$B$2:$B$2000,"&gt;=01/08/2024",[1]Manifestações!$B$2:$B$2000,"&lt;01/09/2024",[1]Manifestações!$F$2:$F$2000, "&lt;&gt;Comunicação")," ")</f>
        <v xml:space="preserve"> </v>
      </c>
      <c r="AG11" s="15" t="str">
        <f t="shared" si="11"/>
        <v xml:space="preserve"> </v>
      </c>
      <c r="AH11" s="16" t="str">
        <f>IFERROR(AVERAGEIFS([1]Manifestações!$M$2:$M$2000,[1]Manifestações!$G$2:$G$2000,"Acesso à informação",[1]Manifestações!$M$2:$M$2000,"&gt;=0",[1]Manifestações!$B$2:$B$2000,"&gt;=01/08/2024",[1]Manifestações!$B$2:$B$2000,"&lt;01/09/2024",[1]Manifestações!$F$2:$F$2000, "&lt;&gt;Comunicação")," ")</f>
        <v xml:space="preserve"> </v>
      </c>
      <c r="AI11" s="22"/>
      <c r="AJ11" s="9">
        <f>COUNTIFS([1]Manifestações!$A$2:$A$2000,"mail",[1]Manifestações!$H$2:$H$2000,"física",[1]Manifestações!$B$2:$B$2000,"&gt;=01/08/2024",[1]Manifestações!$B$2:$B$2000,"&lt;01/09/2024")</f>
        <v>0</v>
      </c>
      <c r="AK11" s="8">
        <f>COUNTIFS([1]Manifestações!$A$2:$A$2000,"mail",[1]Manifestações!$H$2:$H$2000,"jurídica",[1]Manifestações!$B$2:$B$2000,"&gt;=01/08/2024",[1]Manifestações!$B$2:$B$2000,"&lt;01/09/2024")</f>
        <v>0</v>
      </c>
      <c r="AL11" s="9">
        <f>COUNTIFS([1]Manifestações!$A$2:$A$2000,"ouv",[1]Manifestações!$H$2:$H$2000,"física",[1]Manifestações!$B$2:$B$2000,"&gt;=01/08/2024",[1]Manifestações!$B$2:$B$2000,"&lt;01/09/2024")</f>
        <v>0</v>
      </c>
      <c r="AM11" s="8">
        <f>COUNTIFS([1]Manifestações!$A$2:$A$2000,"ouv",[1]Manifestações!$H$2:$H$2000,"jurídica",[1]Manifestações!$B$2:$B$2000,"&gt;=01/08/2024",[1]Manifestações!$B$2:$B$2000,"&lt;01/09/2024")</f>
        <v>0</v>
      </c>
      <c r="AN11" s="9">
        <f>COUNTIFS([1]Manifestações!$A$2:$A$2000,"sic",[1]Manifestações!$H$2:$H$2000,"física",[1]Manifestações!$B$2:$B$2000,"&gt;=01/08/2024",[1]Manifestações!$B$2:$B$2000,"&lt;01/09/2024")</f>
        <v>0</v>
      </c>
      <c r="AO11" s="8">
        <f>COUNTIFS([1]Manifestações!$A$2:$A$2000,"sic",[1]Manifestações!$H$2:$H$2000,"jurídica",[1]Manifestações!$B$2:$B$2000,"&gt;=01/08/2024",[1]Manifestações!$B$2:$B$2000,"&lt;01/09/2024")</f>
        <v>0</v>
      </c>
      <c r="AP11" s="9">
        <f>COUNTIFS([1]Manifestações!$A$2:$A$2000,"presencial",[1]Manifestações!$H$2:$H$2000,"física",[1]Manifestações!$B$2:$B$2000,"&gt;=01/08/2024",[1]Manifestações!$B$2:$B$2000,"&lt;01/09/2024")</f>
        <v>0</v>
      </c>
      <c r="AQ11" s="8">
        <f>COUNTIFS([1]Manifestações!$A$2:$A$2000,"presencial",[1]Manifestações!$H$2:$H$2000,"jurídica",[1]Manifestações!$B$2:$B$2000,"&gt;=01/08/2024",[1]Manifestações!$B$2:$B$2000,"&lt;01/09/2024")</f>
        <v>0</v>
      </c>
      <c r="AR11" s="9">
        <f>COUNTIFS([1]Manifestações!$H$2:$H$2000,"física",[1]Manifestações!$B$2:$B$2000,"&gt;=01/08/2024",[1]Manifestações!$B$2:$B$2000,"&lt;01/09/2024")</f>
        <v>0</v>
      </c>
      <c r="AS11" s="10">
        <f>COUNTIFS([1]Manifestações!$H$2:$H$2000,"jurídica",[1]Manifestações!$B$2:$B$2000,"&gt;=01/08/2024",[1]Manifestações!$B$2:$B$2000,"&lt;01/09/2024")</f>
        <v>0</v>
      </c>
      <c r="AT11" s="9">
        <f>COUNTIFS('[1]Atendimentos Telefônicos'!$E$2:$E$2000,"Física",'[1]Atendimentos Telefônicos'!$A$2:$A$2000,"&gt;=01/08/2024",'[1]Atendimentos Telefônicos'!$A$2:$A$2000,"&lt;01/09/2024")</f>
        <v>0</v>
      </c>
      <c r="AU11" s="8">
        <f>COUNTIFS('[1]Atendimentos Telefônicos'!$E$2:$E$2000,"Jurídica",'[1]Atendimentos Telefônicos'!$A$2:$A$2000,"&gt;=01/08/2024",'[1]Atendimentos Telefônicos'!$A$2:$A$2000,"&lt;01/09/2024")</f>
        <v>0</v>
      </c>
      <c r="AV11" s="9">
        <f t="shared" si="1"/>
        <v>0</v>
      </c>
      <c r="AW11" s="11" t="str">
        <f t="shared" si="2"/>
        <v xml:space="preserve"> </v>
      </c>
      <c r="AX11" s="10">
        <f t="shared" si="3"/>
        <v>0</v>
      </c>
      <c r="AY11" s="10" t="str">
        <f t="shared" si="4"/>
        <v xml:space="preserve"> </v>
      </c>
      <c r="AZ11" s="22"/>
      <c r="BA11" s="9">
        <f>COUNTIFS([1]Manifestações!$A$2:$A$2000,"mail",[1]Manifestações!$I$2:$I$2000,"Feminino",[1]Manifestações!$B$2:$B$2000,"&gt;=01/08/2024",[1]Manifestações!$B$2:$B$2000,"&lt;01/09/2024")</f>
        <v>0</v>
      </c>
      <c r="BB11" s="8">
        <f>COUNTIFS([1]Manifestações!$A$2:$A$2000,"mail",[1]Manifestações!$I$2:$I$2000,"Masculino",[1]Manifestações!$B$2:$B$2000,"&gt;=01/08/2024",[1]Manifestações!$B$2:$B$2000,"&lt;01/09/2024")</f>
        <v>0</v>
      </c>
      <c r="BC11" s="9">
        <f>COUNTIFS([1]Manifestações!$A$2:$A$2000,"ouv",[1]Manifestações!$I$2:$I$2000,"Feminino",[1]Manifestações!$B$2:$B$2000,"&gt;=01/08/2024",[1]Manifestações!$B$2:$B$2000,"&lt;01/09/2024")</f>
        <v>0</v>
      </c>
      <c r="BD11" s="8">
        <f>COUNTIFS([1]Manifestações!$A$2:$A$2000,"ouv",[1]Manifestações!$I$2:$I$2000,"Masculino",[1]Manifestações!$B$2:$B$2000,"&gt;=01/08/2024",[1]Manifestações!$B$2:$B$2000,"&lt;01/09/2024")</f>
        <v>0</v>
      </c>
      <c r="BE11" s="9">
        <f>COUNTIFS([1]Manifestações!$A$2:$A$2000,"sic",[1]Manifestações!$I$2:$I$2000,"Feminino",[1]Manifestações!$B$2:$B$2000,"&gt;=01/08/2024",[1]Manifestações!$B$2:$B$2000,"&lt;01/09/2024")</f>
        <v>0</v>
      </c>
      <c r="BF11" s="8">
        <f>COUNTIFS([1]Manifestações!$A$2:$A$2000,"sic",[1]Manifestações!$I$2:$I$2000,"Masculino",[1]Manifestações!$B$2:$B$2000,"&gt;=01/08/2024",[1]Manifestações!$B$2:$B$2000,"&lt;01/09/2024")</f>
        <v>0</v>
      </c>
      <c r="BG11" s="9">
        <f>COUNTIFS([1]Manifestações!$A$2:$A$2000,"presencial",[1]Manifestações!$I$2:$I$2000,"Feminino",[1]Manifestações!$B$2:$B$2000,"&gt;=01/08/2024",[1]Manifestações!$B$2:$B$2000,"&lt;01/09/2024")</f>
        <v>0</v>
      </c>
      <c r="BH11" s="8">
        <f>COUNTIFS([1]Manifestações!$A$2:$A$2000,"presencial",[1]Manifestações!$I$2:$I$2000,"Masculino",[1]Manifestações!$B$2:$B$2000,"&gt;=01/08/2024",[1]Manifestações!$B$2:$B$2000,"&lt;01/09/2024")</f>
        <v>0</v>
      </c>
      <c r="BI11" s="9">
        <f>COUNTIFS([1]Manifestações!$I$2:$I$2000,"Feminino",[1]Manifestações!$B$2:$B$2000,"&gt;=01/08/2024",[1]Manifestações!$B$2:$B$2000,"&lt;01/09/2024")</f>
        <v>0</v>
      </c>
      <c r="BJ11" s="10">
        <f>COUNTIFS([1]Manifestações!$I$2:$I$2000,"Masculino",[1]Manifestações!$B$2:$B$2000,"&gt;=01/08/2024",[1]Manifestações!$B$2:$B$2000,"&lt;01/09/2024")</f>
        <v>0</v>
      </c>
      <c r="BK11" s="9">
        <f>COUNTIFS('[1]Atendimentos Telefônicos'!$F$2:$F$2000,"Feminino",'[1]Atendimentos Telefônicos'!$A$2:$A$2000,"&gt;=01/08/2024",'[1]Atendimentos Telefônicos'!$A$2:$A$2000,"&lt;01/09/2024")</f>
        <v>0</v>
      </c>
      <c r="BL11" s="8">
        <f>COUNTIFS('[1]Atendimentos Telefônicos'!$F$2:$F$2000,"Masculino",'[1]Atendimentos Telefônicos'!$A$2:$A$2000,"&gt;=01/08/2024",'[1]Atendimentos Telefônicos'!$A$2:$A$2000,"&lt;01/09/2024")</f>
        <v>0</v>
      </c>
      <c r="BM11" s="9">
        <f t="shared" si="5"/>
        <v>0</v>
      </c>
      <c r="BN11" s="11" t="str">
        <f t="shared" si="8"/>
        <v xml:space="preserve"> </v>
      </c>
      <c r="BO11" s="10">
        <f t="shared" si="6"/>
        <v>0</v>
      </c>
      <c r="BP11" s="10" t="str">
        <f t="shared" si="7"/>
        <v xml:space="preserve"> </v>
      </c>
      <c r="BQ11" s="23"/>
      <c r="BR11" s="9">
        <f>COUNTIFS([1]Manifestações!$A$2:$A$2000,"mail",[1]Manifestações!$F$2:$F$2000,"solicitação",[1]Manifestações!$B$2:$B$2000,"&gt;=01/08/2024",[1]Manifestações!$B$2:$B$2000,"&lt;01/09/2024")</f>
        <v>0</v>
      </c>
      <c r="BS11" s="8">
        <f>COUNTIFS([1]Manifestações!$A$2:$A$2000,"mail",[1]Manifestações!$F$2:$F$2000,"reclamação",[1]Manifestações!$B$2:$B$2000,"&gt;=01/08/2024",[1]Manifestações!$B$2:$B$2000,"&lt;01/09/2024")</f>
        <v>0</v>
      </c>
      <c r="BT11" s="9">
        <f>COUNTIFS([1]Manifestações!$A$2:$A$2000,"mail",[1]Manifestações!$F$2:$F$2000,"denúncia",[1]Manifestações!$B$2:$B$2000,"&gt;=01/08/2024",[1]Manifestações!$B$2:$B$2000,"&lt;01/09/2024")</f>
        <v>0</v>
      </c>
      <c r="BU11" s="8">
        <f>COUNTIFS([1]Manifestações!$A$2:$A$2000,"mail",[1]Manifestações!$F$2:$F$2000,"sugestão",[1]Manifestações!$B$2:$B$2000,"&gt;=01/08/2024",[1]Manifestações!$B$2:$B$2000,"&lt;01/09/2024")</f>
        <v>0</v>
      </c>
      <c r="BV11" s="9">
        <f>COUNTIFS([1]Manifestações!$A$2:$A$2000,"mail",[1]Manifestações!$F$2:$F$2000,"elogio",[1]Manifestações!$B$2:$B$2000,"&gt;=01/08/2024",[1]Manifestações!$B$2:$B$2000,"&lt;01/09/2024")</f>
        <v>0</v>
      </c>
      <c r="BW11" s="8">
        <f>COUNTIFS([1]Manifestações!$A$2:$A$2000,"mail",[1]Manifestações!$F$2:$F$2000,"simplifique",[1]Manifestações!$B$2:$B$2000,"&gt;=01/08/2024",[1]Manifestações!$B$2:$B$2000,"&lt;01/09/2024")</f>
        <v>0</v>
      </c>
      <c r="BX11" s="9">
        <f>COUNTIFS([1]Manifestações!$A$2:$A$2000,"mail",[1]Manifestações!$D$2:$D$2000,"&lt;&gt;*Fale*",[1]Manifestações!$D$2:$D$2000,"&lt;&gt;*Redes*",[1]Manifestações!$B$2:$B$2000,"&gt;=01/08/2024",[1]Manifestações!$B$2:$B$2000,"&lt;01/09/2024")</f>
        <v>0</v>
      </c>
      <c r="BY11" s="9">
        <f>COUNTIFS([1]Manifestações!$A$2:$A$2000,"mail",[1]Manifestações!$D$2:$D$2000,"*Redes*",[1]Manifestações!$B$2:$B$2000,"&gt;=01/08/2024",[1]Manifestações!$B$2:$B$2000,"&lt;01/09/2024")</f>
        <v>0</v>
      </c>
      <c r="BZ11" s="9">
        <f>COUNTIFS([1]Manifestações!$A$2:$A$2000,"mail",[1]Manifestações!$D$2:$D$2000,"*Fale*",[1]Manifestações!$B$2:$B$2000,"&gt;=01/08/2024",[1]Manifestações!$B$2:$B$2000,"&lt;01/09/2024")</f>
        <v>0</v>
      </c>
      <c r="CA11" s="8">
        <f>COUNTIFS([1]Manifestações!$A$2:$A$2000,"mail",[1]Manifestações!$F$2:$F$2000,"comunicação",[1]Manifestações!$B$2:$B$2000,"&gt;=01/08/2024",[1]Manifestações!$B$2:$B$2000,"&lt;01/09/2024")</f>
        <v>0</v>
      </c>
      <c r="CB11" s="24"/>
      <c r="CC11" s="25"/>
      <c r="CD11" s="9">
        <f>COUNTIFS([1]Manifestações!$A$2:$A$2000,"ouv",[1]Manifestações!$F$2:$F$2000,"denúncia",[1]Manifestações!$B$2:$B$2000,"&gt;=01/08/2024",[1]Manifestações!$B$2:$B$2000,"&lt;01/09/2024")</f>
        <v>0</v>
      </c>
      <c r="CE11" s="8">
        <f>COUNTIFS([1]Manifestações!$A$2:$A$2000,"ouv",[1]Manifestações!$F$2:$F$2000,"reclamação",[1]Manifestações!$B$2:$B$2000,"&gt;=01/08/2024",[1]Manifestações!$B$2:$B$2000,"&lt;01/09/2024")</f>
        <v>0</v>
      </c>
      <c r="CF11" s="9">
        <f>COUNTIFS([1]Manifestações!$A$2:$A$2000,"ouv",[1]Manifestações!$F$2:$F$2000,"solicitação",[1]Manifestações!$B$2:$B$2000,"&gt;=01/08/2024",[1]Manifestações!$B$2:$B$2000,"&lt;01/09/2024")</f>
        <v>0</v>
      </c>
      <c r="CG11" s="8">
        <f>COUNTIFS([1]Manifestações!$A$2:$A$2000,"ouv",[1]Manifestações!$F$2:$F$2000,"sugestão",[1]Manifestações!$B$2:$B$2000,"&gt;=01/08/2024",[1]Manifestações!$B$2:$B$2000,"&lt;01/09/2024")</f>
        <v>0</v>
      </c>
      <c r="CH11" s="9">
        <f>COUNTIFS([1]Manifestações!$A$2:$A$2000,"ouv",[1]Manifestações!$F$2:$F$2000,"elogio",[1]Manifestações!$B$2:$B$2000,"&gt;=01/08/2024",[1]Manifestações!$B$2:$B$2000,"&lt;01/09/2024")</f>
        <v>0</v>
      </c>
      <c r="CI11" s="8">
        <f>COUNTIFS([1]Manifestações!$A$2:$A$2000,"ouv",[1]Manifestações!$F$2:$F$2000,"comunicação",[1]Manifestações!$B$2:$B$2000,"&gt;=01/08/2024",[1]Manifestações!$B$2:$B$2000,"&lt;01/09/2024")</f>
        <v>0</v>
      </c>
      <c r="CJ11" s="14">
        <f>COUNTIFS([1]Manifestações!$A$2:$A$2000,"ouv",[1]Manifestações!$F$2:$F$2000,"simplifique",[1]Manifestações!$B$2:$B$2000,"&gt;=01/08/2024",[1]Manifestações!$B$2:$B$2000,"&lt;01/09/2024")</f>
        <v>0</v>
      </c>
      <c r="CK11" s="26"/>
    </row>
    <row r="12" spans="1:89" ht="14.4" customHeight="1" x14ac:dyDescent="0.3">
      <c r="A12" s="7" t="s">
        <v>77</v>
      </c>
      <c r="B12" s="8">
        <f>COUNTIFS([1]Manifestações!$A$2:$A$2000,"mail",[1]Manifestações!$B$2:$B$2000,"&gt;=01/09/2024",[1]Manifestações!$B$2:$B$2000,"&lt;01/10/2024",[1]Manifestações!$F$2:$F$2000, "&lt;&gt;Comunicação")</f>
        <v>0</v>
      </c>
      <c r="C12" s="9">
        <f>COUNTIFS([1]Manifestações!$A$2:$A$2000,"mail",[1]Manifestações!$B$2:$B$2000,"&gt;=01/09/2024",[1]Manifestações!$B$2:$B$2000,"&lt;01/10/2024",[1]Manifestações!$L$2:$L$2000,"Finalizada",[1]Manifestações!$F$2:$F$2000, "&lt;&gt;Comunicação")</f>
        <v>0</v>
      </c>
      <c r="D12" s="8">
        <f>COUNTIFS([1]Manifestações!$A$2:$A$2000,"ouv",[1]Manifestações!$B$2:$B$2000,"&gt;=01/09/2024",[1]Manifestações!$B$2:$B$2000,"&lt;01/10/2024",[1]Manifestações!$F$2:$F$2000, "&lt;&gt;Comunicação")</f>
        <v>0</v>
      </c>
      <c r="E12" s="9">
        <f>COUNTIFS([1]Manifestações!$A$2:$A$2000,"ouv",[1]Manifestações!$B$2:$B$2000,"&gt;=01/09/2024",[1]Manifestações!$B$2:$B$2000,"&lt;01/10/2024",[1]Manifestações!$L$2:$L$2000,"Finalizada",[1]Manifestações!$F$2:$F$2000, "&lt;&gt;Comunicação")</f>
        <v>0</v>
      </c>
      <c r="F12" s="8">
        <f>COUNTIFS([1]Manifestações!$A$2:$A$2000,"sic",[1]Manifestações!$B$2:$B$2000,"&gt;=01/09/2024",[1]Manifestações!$B$2:$B$2000,"&lt;01/10/2024")</f>
        <v>0</v>
      </c>
      <c r="G12" s="9">
        <f>COUNTIFS([1]Manifestações!$A$2:$A$2000,"sic",[1]Manifestações!$B$2:$B$2000,"&gt;=01/09/2024",[1]Manifestações!$B$2:$B$2000,"&lt;01/10/2024",[1]Manifestações!$L$2:$L$2000,"Finalizada")</f>
        <v>0</v>
      </c>
      <c r="H12" s="8">
        <f t="shared" si="24"/>
        <v>0</v>
      </c>
      <c r="I12" s="9">
        <f t="shared" si="24"/>
        <v>0</v>
      </c>
      <c r="J12" s="10" t="str">
        <f>IF(B12&gt;0,C12/B12*100," ")</f>
        <v xml:space="preserve"> </v>
      </c>
      <c r="K12" s="11" t="str">
        <f>IF(D12&gt;0,E12/D12*100," ")</f>
        <v xml:space="preserve"> </v>
      </c>
      <c r="L12" s="10" t="str">
        <f>IF(F12&gt;0,G12/F12*100," ")</f>
        <v xml:space="preserve"> </v>
      </c>
      <c r="M12" s="11" t="str">
        <f>IF(I12&gt;0,SUM(C12,E12,G12)/SUM(B12,D12,F12)*100," ")</f>
        <v xml:space="preserve"> </v>
      </c>
      <c r="N12" s="21"/>
      <c r="O12" s="9">
        <f>COUNTIFS([1]Manifestações!$F$2:$F$2000,"denúncia",[1]Manifestações!$B$2:$B$2000,"&gt;=01/09/2024",[1]Manifestações!$B$2:$B$2000,"&lt;01/10/2024")</f>
        <v>0</v>
      </c>
      <c r="P12" s="8">
        <f>COUNTIFS([1]Manifestações!$F$2:$F$2000,"reclamação",[1]Manifestações!$B$2:$B$2000,"&gt;=01/09/2024",[1]Manifestações!$B$2:$B$2000,"&lt;01/10/2024")</f>
        <v>0</v>
      </c>
      <c r="Q12" s="9">
        <f>COUNTIFS([1]Manifestações!$F$2:$F$2000,"solicitação",[1]Manifestações!$B$2:$B$2000,"&gt;=01/09/2024",[1]Manifestações!$B$2:$B$2000,"&lt;01/10/2024")</f>
        <v>0</v>
      </c>
      <c r="R12" s="8">
        <f>COUNTIFS([1]Manifestações!$F$2:$F$2000,"sugestão",[1]Manifestações!$B$2:$B$2000,"&gt;=01/09/2024",[1]Manifestações!$B$2:$B$2000,"&lt;01/10/2024")</f>
        <v>0</v>
      </c>
      <c r="S12" s="9">
        <f>COUNTIFS([1]Manifestações!$F$2:$F$2000,"elogio",[1]Manifestações!$B$2:$B$2000,"&gt;=01/09/2024",[1]Manifestações!$B$2:$B$2000,"&lt;01/10/2024")</f>
        <v>0</v>
      </c>
      <c r="T12" s="8">
        <f>COUNTIFS([1]Manifestações!$F$2:$F$2000,"simplifique",[1]Manifestações!$B$2:$B$2000,"&gt;=01/09/2024",[1]Manifestações!$B$2:$B$2000,"&lt;01/10/2024")</f>
        <v>0</v>
      </c>
      <c r="U12" s="9">
        <f>COUNTIFS([1]Manifestações!$F$2:$F$2000,"comunicação",[1]Manifestações!$B$2:$B$2000,"&gt;=01/09/2024",[1]Manifestações!$B$2:$B$2000,"&lt;01/10/2024")</f>
        <v>0</v>
      </c>
      <c r="V12" s="8">
        <f>COUNTIFS([1]Manifestações!$G$2:$G$2000,"Acesso à informação",[1]Manifestações!$B$2:$B$2000,"&gt;=01/09/2024",[1]Manifestações!$B$2:$B$2000,"&lt;01/10/2024")</f>
        <v>0</v>
      </c>
      <c r="W12" s="9">
        <f>COUNTIFS([1]Manifestações!$G$2:$G$2000,"Acesso à informação",[1]Manifestações!$B$2:$B$2000,"&gt;=01/09/2024",[1]Manifestações!$B$2:$B$2000,"&lt;01/10/2024",[1]Manifestações!$L$2:$L$2000,"Finalizada")</f>
        <v>0</v>
      </c>
      <c r="X12" s="9">
        <f>COUNTIFS([1]Manifestações!$F$2:$F$2000,"Atendimento Presencial",[1]Manifestações!$B$2:$B$2000,"&gt;=01/09/2024",[1]Manifestações!$B$2:$B$2000,"&lt;01/10/2024")</f>
        <v>0</v>
      </c>
      <c r="Y12" s="22"/>
      <c r="Z12" s="14">
        <f>COUNTIFS('[1]Atendimentos Telefônicos'!$A$2:$A$2000,"&gt;=01/09/2024",'[1]Atendimentos Telefônicos'!$A$2:$A$2000,"&lt;01/10/2024")</f>
        <v>0</v>
      </c>
      <c r="AA12" s="15">
        <f>SUMIFS('[1]Atendimentos Telefônicos'!$I$2:$I$2000,'[1]Atendimentos Telefônicos'!$A$2:$A$2000,"&gt;=01/09/2024",'[1]Atendimentos Telefônicos'!$A$2:$A$2000,"&lt;01/10/2024")</f>
        <v>0</v>
      </c>
      <c r="AB12" s="22"/>
      <c r="AC12" s="11" t="str">
        <f>IFERROR(AVERAGEIFS([1]Manifestações!$M$2:$M$2000,[1]Manifestações!$A$2:$A$2000,"mail",[1]Manifestações!$M$2:$M$2000,"&gt;=0",[1]Manifestações!$B$2:$B$2000,"&gt;=01/09/2024",[1]Manifestações!$B$2:$B$2000,"&lt;01/10/2024",[1]Manifestações!$F$2:$F$2000, "&lt;&gt;Comunicação")," ")</f>
        <v xml:space="preserve"> </v>
      </c>
      <c r="AD12" s="16" t="str">
        <f>IFERROR(AVERAGEIFS([1]Manifestações!$M$2:$M$2000,[1]Manifestações!$A$2:$A$2000,"ouv",[1]Manifestações!$M$2:$M$2000,"&gt;=0",[1]Manifestações!$B$2:$B$2000,"&gt;=01/09/2024",[1]Manifestações!$B$2:$B$2000,"&lt;01/10/2024",[1]Manifestações!$F$2:$F$2000, "&lt;&gt;Comunicação")," ")</f>
        <v xml:space="preserve"> </v>
      </c>
      <c r="AE12" s="11" t="str">
        <f>IFERROR(AVERAGEIFS([1]Manifestações!$M$2:$M$2000,[1]Manifestações!$A$2:$A$2000,"sic",[1]Manifestações!$M$2:$M$2000,"&gt;=0",[1]Manifestações!$B$2:$B$2000,"&gt;=01/09/2024",[1]Manifestações!$B$2:$B$2000,"&lt;01/10/2024",[1]Manifestações!$F$2:$F$2000, "&lt;&gt;Comunicação")," ")</f>
        <v xml:space="preserve"> </v>
      </c>
      <c r="AF12" s="16" t="str">
        <f>IFERROR(AVERAGEIFS([1]Manifestações!$M$2:$M$2000,[1]Manifestações!$M$2:$M$2000,"&gt;=0",[1]Manifestações!$B$2:$B$2000,"&gt;=01/09/2024",[1]Manifestações!$B$2:$B$2000,"&lt;01/10/2024",[1]Manifestações!$F$2:$F$2000, "&lt;&gt;Comunicação")," ")</f>
        <v xml:space="preserve"> </v>
      </c>
      <c r="AG12" s="15" t="str">
        <f t="shared" si="11"/>
        <v xml:space="preserve"> </v>
      </c>
      <c r="AH12" s="16" t="str">
        <f>IFERROR(AVERAGEIFS([1]Manifestações!$M$2:$M$2000,[1]Manifestações!$G$2:$G$2000,"Acesso à informação",[1]Manifestações!$M$2:$M$2000,"&gt;=0",[1]Manifestações!$B$2:$B$2000,"&gt;=01/09/2024",[1]Manifestações!$B$2:$B$2000,"&lt;01/10/2024",[1]Manifestações!$F$2:$F$2000, "&lt;&gt;Comunicação")," ")</f>
        <v xml:space="preserve"> </v>
      </c>
      <c r="AI12" s="22"/>
      <c r="AJ12" s="9">
        <f>COUNTIFS([1]Manifestações!$A$2:$A$2000,"mail",[1]Manifestações!$H$2:$H$2000,"física",[1]Manifestações!$B$2:$B$2000,"&gt;=01/09/2024",[1]Manifestações!$B$2:$B$2000,"&lt;01/10/2024")</f>
        <v>0</v>
      </c>
      <c r="AK12" s="8">
        <f>COUNTIFS([1]Manifestações!$A$2:$A$2000,"mail",[1]Manifestações!$H$2:$H$2000,"jurídica",[1]Manifestações!$B$2:$B$2000,"&gt;=01/09/2024",[1]Manifestações!$B$2:$B$2000,"&lt;01/10/2024")</f>
        <v>0</v>
      </c>
      <c r="AL12" s="9">
        <f>COUNTIFS([1]Manifestações!$A$2:$A$2000,"ouv",[1]Manifestações!$H$2:$H$2000,"física",[1]Manifestações!$B$2:$B$2000,"&gt;=01/09/2024",[1]Manifestações!$B$2:$B$2000,"&lt;01/10/2024")</f>
        <v>0</v>
      </c>
      <c r="AM12" s="8">
        <f>COUNTIFS([1]Manifestações!$A$2:$A$2000,"ouv",[1]Manifestações!$H$2:$H$2000,"jurídica",[1]Manifestações!$B$2:$B$2000,"&gt;=01/09/2024",[1]Manifestações!$B$2:$B$2000,"&lt;01/10/2024")</f>
        <v>0</v>
      </c>
      <c r="AN12" s="9">
        <f>COUNTIFS([1]Manifestações!$A$2:$A$2000,"sic",[1]Manifestações!$H$2:$H$2000,"física",[1]Manifestações!$B$2:$B$2000,"&gt;=01/09/2024",[1]Manifestações!$B$2:$B$2000,"&lt;01/10/2024")</f>
        <v>0</v>
      </c>
      <c r="AO12" s="8">
        <f>COUNTIFS([1]Manifestações!$A$2:$A$2000,"sic",[1]Manifestações!$H$2:$H$2000,"jurídica",[1]Manifestações!$B$2:$B$2000,"&gt;=01/09/2024",[1]Manifestações!$B$2:$B$2000,"&lt;01/10/2024")</f>
        <v>0</v>
      </c>
      <c r="AP12" s="9">
        <f>COUNTIFS([1]Manifestações!$A$2:$A$2000,"presencial",[1]Manifestações!$H$2:$H$2000,"física",[1]Manifestações!$B$2:$B$2000,"&gt;=01/09/2024",[1]Manifestações!$B$2:$B$2000,"&lt;01/10/2024")</f>
        <v>0</v>
      </c>
      <c r="AQ12" s="8">
        <f>COUNTIFS([1]Manifestações!$A$2:$A$2000,"presencial",[1]Manifestações!$H$2:$H$2000,"jurídica",[1]Manifestações!$B$2:$B$2000,"&gt;=01/09/2024",[1]Manifestações!$B$2:$B$2000,"&lt;01/10/2024")</f>
        <v>0</v>
      </c>
      <c r="AR12" s="9">
        <f>COUNTIFS([1]Manifestações!$H$2:$H$2000,"física",[1]Manifestações!$B$2:$B$2000,"&gt;=01/09/2024",[1]Manifestações!$B$2:$B$2000,"&lt;01/10/2024")</f>
        <v>0</v>
      </c>
      <c r="AS12" s="10">
        <f>COUNTIFS([1]Manifestações!$H$2:$H$2000,"jurídica",[1]Manifestações!$B$2:$B$2000,"&gt;=01/09/2024",[1]Manifestações!$B$2:$B$2000,"&lt;01/10/2024")</f>
        <v>0</v>
      </c>
      <c r="AT12" s="9">
        <f>COUNTIFS('[1]Atendimentos Telefônicos'!$E$2:$E$2000,"Física",'[1]Atendimentos Telefônicos'!$A$2:$A$2000,"&gt;=01/09/2024",'[1]Atendimentos Telefônicos'!$A$2:$A$2000,"&lt;01/10/2024")</f>
        <v>0</v>
      </c>
      <c r="AU12" s="8">
        <f>COUNTIFS('[1]Atendimentos Telefônicos'!$E$2:$E$2000,"Jurídica",'[1]Atendimentos Telefônicos'!$A$2:$A$2000,"&gt;=01/09/2024",'[1]Atendimentos Telefônicos'!$A$2:$A$2000,"&lt;01/10/2024")</f>
        <v>0</v>
      </c>
      <c r="AV12" s="9">
        <f t="shared" si="1"/>
        <v>0</v>
      </c>
      <c r="AW12" s="11" t="str">
        <f t="shared" si="2"/>
        <v xml:space="preserve"> </v>
      </c>
      <c r="AX12" s="10">
        <f t="shared" si="3"/>
        <v>0</v>
      </c>
      <c r="AY12" s="10" t="str">
        <f t="shared" si="4"/>
        <v xml:space="preserve"> </v>
      </c>
      <c r="AZ12" s="22"/>
      <c r="BA12" s="9">
        <f>COUNTIFS([1]Manifestações!$A$2:$A$2000,"mail",[1]Manifestações!$I$2:$I$2000,"Feminino",[1]Manifestações!$B$2:$B$2000,"&gt;=01/09/2024",[1]Manifestações!$B$2:$B$2000,"&lt;01/10/2024")</f>
        <v>0</v>
      </c>
      <c r="BB12" s="8">
        <f>COUNTIFS([1]Manifestações!$A$2:$A$2000,"mail",[1]Manifestações!$I$2:$I$2000,"Masculino",[1]Manifestações!$B$2:$B$2000,"&gt;=01/09/2024",[1]Manifestações!$B$2:$B$2000,"&lt;01/10/2024")</f>
        <v>0</v>
      </c>
      <c r="BC12" s="9">
        <f>COUNTIFS([1]Manifestações!$A$2:$A$2000,"ouv",[1]Manifestações!$I$2:$I$2000,"Feminino",[1]Manifestações!$B$2:$B$2000,"&gt;=01/09/2024",[1]Manifestações!$B$2:$B$2000,"&lt;01/10/2024")</f>
        <v>0</v>
      </c>
      <c r="BD12" s="8">
        <f>COUNTIFS([1]Manifestações!$A$2:$A$2000,"ouv",[1]Manifestações!$I$2:$I$2000,"Masculino",[1]Manifestações!$B$2:$B$2000,"&gt;=01/09/2024",[1]Manifestações!$B$2:$B$2000,"&lt;01/10/2024")</f>
        <v>0</v>
      </c>
      <c r="BE12" s="9">
        <f>COUNTIFS([1]Manifestações!$A$2:$A$2000,"sic",[1]Manifestações!$I$2:$I$2000,"Feminino",[1]Manifestações!$B$2:$B$2000,"&gt;=01/09/2024",[1]Manifestações!$B$2:$B$2000,"&lt;01/10/2024")</f>
        <v>0</v>
      </c>
      <c r="BF12" s="8">
        <f>COUNTIFS([1]Manifestações!$A$2:$A$2000,"sic",[1]Manifestações!$I$2:$I$2000,"Masculino",[1]Manifestações!$B$2:$B$2000,"&gt;=01/09/2024",[1]Manifestações!$B$2:$B$2000,"&lt;01/10/2024")</f>
        <v>0</v>
      </c>
      <c r="BG12" s="9">
        <f>COUNTIFS([1]Manifestações!$A$2:$A$2000,"presencial",[1]Manifestações!$I$2:$I$2000,"Feminino",[1]Manifestações!$B$2:$B$2000,"&gt;=01/09/2024",[1]Manifestações!$B$2:$B$2000,"&lt;01/10/2024")</f>
        <v>0</v>
      </c>
      <c r="BH12" s="8">
        <f>COUNTIFS([1]Manifestações!$A$2:$A$2000,"presencial",[1]Manifestações!$I$2:$I$2000,"Masculino",[1]Manifestações!$B$2:$B$2000,"&gt;=01/09/2024",[1]Manifestações!$B$2:$B$2000,"&lt;01/10/2024")</f>
        <v>0</v>
      </c>
      <c r="BI12" s="9">
        <f>COUNTIFS([1]Manifestações!$I$2:$I$2000,"Feminino",[1]Manifestações!$B$2:$B$2000,"&gt;=01/09/2024",[1]Manifestações!$B$2:$B$2000,"&lt;01/10/2024")</f>
        <v>0</v>
      </c>
      <c r="BJ12" s="10">
        <f>COUNTIFS([1]Manifestações!$I$2:$I$2000,"Masculino",[1]Manifestações!$B$2:$B$2000,"&gt;=01/09/2024",[1]Manifestações!$B$2:$B$2000,"&lt;01/10/2024")</f>
        <v>0</v>
      </c>
      <c r="BK12" s="9">
        <f>COUNTIFS('[1]Atendimentos Telefônicos'!$F$2:$F$2000,"Feminino",'[1]Atendimentos Telefônicos'!$A$2:$A$2000,"&gt;=01/09/2024",'[1]Atendimentos Telefônicos'!$A$2:$A$2000,"&lt;01/10/2024")</f>
        <v>0</v>
      </c>
      <c r="BL12" s="8">
        <f>COUNTIFS('[1]Atendimentos Telefônicos'!$F$2:$F$2000,"Masculino",'[1]Atendimentos Telefônicos'!$A$2:$A$2000,"&gt;=01/09/2024",'[1]Atendimentos Telefônicos'!$A$2:$A$2000,"&lt;01/10/2024")</f>
        <v>0</v>
      </c>
      <c r="BM12" s="9">
        <f t="shared" si="5"/>
        <v>0</v>
      </c>
      <c r="BN12" s="11" t="str">
        <f>IF(SUM(BM12,BO12)&gt;0,BM12*100/(SUM(BM12,BO12))," ")</f>
        <v xml:space="preserve"> </v>
      </c>
      <c r="BO12" s="10">
        <f t="shared" si="6"/>
        <v>0</v>
      </c>
      <c r="BP12" s="10" t="str">
        <f t="shared" si="7"/>
        <v xml:space="preserve"> </v>
      </c>
      <c r="BQ12" s="23"/>
      <c r="BR12" s="9">
        <f>COUNTIFS([1]Manifestações!$A$2:$A$2000,"mail",[1]Manifestações!$F$2:$F$2000,"solicitação",[1]Manifestações!$B$2:$B$2000,"&gt;=01/09/2024",[1]Manifestações!$B$2:$B$2000,"&lt;01/10/2024")</f>
        <v>0</v>
      </c>
      <c r="BS12" s="8">
        <f>COUNTIFS([1]Manifestações!$A$2:$A$2000,"mail",[1]Manifestações!$F$2:$F$2000,"reclamação",[1]Manifestações!$B$2:$B$2000,"&gt;=01/09/2024",[1]Manifestações!$B$2:$B$2000,"&lt;01/10/2024")</f>
        <v>0</v>
      </c>
      <c r="BT12" s="9">
        <f>COUNTIFS([1]Manifestações!$A$2:$A$2000,"mail",[1]Manifestações!$F$2:$F$2000,"denúncia",[1]Manifestações!$B$2:$B$2000,"&gt;=01/09/2024",[1]Manifestações!$B$2:$B$2000,"&lt;01/10/2024")</f>
        <v>0</v>
      </c>
      <c r="BU12" s="8">
        <f>COUNTIFS([1]Manifestações!$A$2:$A$2000,"mail",[1]Manifestações!$F$2:$F$2000,"sugestão",[1]Manifestações!$B$2:$B$2000,"&gt;=01/09/2024",[1]Manifestações!$B$2:$B$2000,"&lt;01/10/2024")</f>
        <v>0</v>
      </c>
      <c r="BV12" s="9">
        <f>COUNTIFS([1]Manifestações!$A$2:$A$2000,"mail",[1]Manifestações!$F$2:$F$2000,"elogio",[1]Manifestações!$B$2:$B$2000,"&gt;=01/09/2024",[1]Manifestações!$B$2:$B$2000,"&lt;01/10/2024")</f>
        <v>0</v>
      </c>
      <c r="BW12" s="8">
        <f>COUNTIFS([1]Manifestações!$A$2:$A$2000,"mail",[1]Manifestações!$F$2:$F$2000,"simplifique",[1]Manifestações!$B$2:$B$2000,"&gt;=01/09/2024",[1]Manifestações!$B$2:$B$2000,"&lt;01/10/2024")</f>
        <v>0</v>
      </c>
      <c r="BX12" s="9">
        <f>COUNTIFS([1]Manifestações!$A$2:$A$2000,"mail",[1]Manifestações!$D$2:$D$2000,"&lt;&gt;*Fale*",[1]Manifestações!$D$2:$D$2000,"&lt;&gt;*Redes*",[1]Manifestações!$B$2:$B$2000,"&gt;=01/09/2024",[1]Manifestações!$B$2:$B$2000,"&lt;01/10/2024")</f>
        <v>0</v>
      </c>
      <c r="BY12" s="9">
        <f>COUNTIFS([1]Manifestações!$A$2:$A$2000,"mail",[1]Manifestações!$D$2:$D$2000,"*Redes*",[1]Manifestações!$B$2:$B$2000,"&gt;=01/09/2024",[1]Manifestações!$B$2:$B$2000,"&lt;01/10/2024")</f>
        <v>0</v>
      </c>
      <c r="BZ12" s="9">
        <f>COUNTIFS([1]Manifestações!$A$2:$A$2000,"mail",[1]Manifestações!$D$2:$D$2000,"*Fale*",[1]Manifestações!$B$2:$B$2000,"&gt;=01/09/2024",[1]Manifestações!$B$2:$B$2000,"&lt;01/10/2024")</f>
        <v>0</v>
      </c>
      <c r="CA12" s="8">
        <f>COUNTIFS([1]Manifestações!$A$2:$A$2000,"mail",[1]Manifestações!$F$2:$F$2000,"comunicação",[1]Manifestações!$B$2:$B$2000,"&gt;=01/09/2024",[1]Manifestações!$B$2:$B$2000,"&lt;01/10/2024")</f>
        <v>0</v>
      </c>
      <c r="CB12" s="24"/>
      <c r="CC12" s="25"/>
      <c r="CD12" s="9">
        <f>COUNTIFS([1]Manifestações!$A$2:$A$2000,"ouv",[1]Manifestações!$F$2:$F$2000,"denúncia",[1]Manifestações!$B$2:$B$2000,"&gt;=01/09/2024",[1]Manifestações!$B$2:$B$2000,"&lt;01/10/2024")</f>
        <v>0</v>
      </c>
      <c r="CE12" s="8">
        <f>COUNTIFS([1]Manifestações!$A$2:$A$2000,"ouv",[1]Manifestações!$F$2:$F$2000,"reclamação",[1]Manifestações!$B$2:$B$2000,"&gt;=01/09/2024",[1]Manifestações!$B$2:$B$2000,"&lt;01/10/2024")</f>
        <v>0</v>
      </c>
      <c r="CF12" s="9">
        <f>COUNTIFS([1]Manifestações!$A$2:$A$2000,"ouv",[1]Manifestações!$F$2:$F$2000,"solicitação",[1]Manifestações!$B$2:$B$2000,"&gt;=01/09/2024",[1]Manifestações!$B$2:$B$2000,"&lt;01/10/2024")</f>
        <v>0</v>
      </c>
      <c r="CG12" s="8">
        <f>COUNTIFS([1]Manifestações!$A$2:$A$2000,"ouv",[1]Manifestações!$F$2:$F$2000,"sugestão",[1]Manifestações!$B$2:$B$2000,"&gt;=01/09/2024",[1]Manifestações!$B$2:$B$2000,"&lt;01/10/2024")</f>
        <v>0</v>
      </c>
      <c r="CH12" s="9">
        <f>COUNTIFS([1]Manifestações!$A$2:$A$2000,"ouv",[1]Manifestações!$F$2:$F$2000,"elogio",[1]Manifestações!$B$2:$B$2000,"&gt;=01/09/2024",[1]Manifestações!$B$2:$B$2000,"&lt;01/10/2024")</f>
        <v>0</v>
      </c>
      <c r="CI12" s="8">
        <f>COUNTIFS([1]Manifestações!$A$2:$A$2000,"ouv",[1]Manifestações!$F$2:$F$2000,"comunicação",[1]Manifestações!$B$2:$B$2000,"&gt;=01/09/2024",[1]Manifestações!$B$2:$B$2000,"&lt;01/10/2024")</f>
        <v>0</v>
      </c>
      <c r="CJ12" s="14">
        <f>COUNTIFS([1]Manifestações!$A$2:$A$2000,"ouv",[1]Manifestações!$F$2:$F$2000,"simplifique",[1]Manifestações!$B$2:$B$2000,"&gt;=01/09/2024",[1]Manifestações!$B$2:$B$2000,"&lt;01/10/2024")</f>
        <v>0</v>
      </c>
      <c r="CK12" s="26"/>
    </row>
    <row r="13" spans="1:89" ht="14.4" customHeight="1" x14ac:dyDescent="0.3">
      <c r="A13" s="27" t="s">
        <v>78</v>
      </c>
      <c r="B13" s="1">
        <f t="shared" ref="B13:I13" si="25">SUM(B10:B12)</f>
        <v>0</v>
      </c>
      <c r="C13" s="1">
        <f t="shared" si="25"/>
        <v>0</v>
      </c>
      <c r="D13" s="1">
        <f t="shared" si="25"/>
        <v>0</v>
      </c>
      <c r="E13" s="1">
        <f t="shared" si="25"/>
        <v>0</v>
      </c>
      <c r="F13" s="1">
        <f t="shared" si="25"/>
        <v>0</v>
      </c>
      <c r="G13" s="1">
        <f t="shared" si="25"/>
        <v>0</v>
      </c>
      <c r="H13" s="1">
        <f t="shared" si="25"/>
        <v>0</v>
      </c>
      <c r="I13" s="1">
        <f t="shared" si="25"/>
        <v>0</v>
      </c>
      <c r="J13" s="28" t="str">
        <f>IF(SUM(B10:B12)&gt;0,SUM(C10:C12)/SUM(B10:B12)*100," ")</f>
        <v xml:space="preserve"> </v>
      </c>
      <c r="K13" s="28" t="str">
        <f>IF(SUM(D10:D12)&gt;0,SUM(E10:E12)/SUM(D10:D12)*100," ")</f>
        <v xml:space="preserve"> </v>
      </c>
      <c r="L13" s="28" t="str">
        <f>IF(SUM(F10:F12)&gt;0,SUM(G10:G12)/SUM(F10:F12)*100," ")</f>
        <v xml:space="preserve"> </v>
      </c>
      <c r="M13" s="28" t="str">
        <f>IF(SUM(H10:H12)&gt;0,SUM(I10:I12)/SUM(H10:H12)*100," ")</f>
        <v xml:space="preserve"> </v>
      </c>
      <c r="N13" s="21"/>
      <c r="O13" s="1">
        <f>SUM(O10:O12)</f>
        <v>0</v>
      </c>
      <c r="P13" s="1">
        <f t="shared" ref="P13" si="26">SUM(P10:P12)</f>
        <v>0</v>
      </c>
      <c r="Q13" s="1">
        <f>SUM(Q10:Q12)</f>
        <v>0</v>
      </c>
      <c r="R13" s="1">
        <f t="shared" ref="R13:U13" si="27">SUM(R10:R12)</f>
        <v>0</v>
      </c>
      <c r="S13" s="1">
        <f t="shared" si="27"/>
        <v>0</v>
      </c>
      <c r="T13" s="1">
        <f t="shared" si="27"/>
        <v>0</v>
      </c>
      <c r="U13" s="1">
        <f t="shared" si="27"/>
        <v>0</v>
      </c>
      <c r="V13" s="1">
        <f>SUM(V10:V12)</f>
        <v>0</v>
      </c>
      <c r="W13" s="1">
        <f>SUM(W10:W12)</f>
        <v>0</v>
      </c>
      <c r="X13" s="1">
        <f>SUM(X10:X12)</f>
        <v>0</v>
      </c>
      <c r="Y13" s="22"/>
      <c r="Z13" s="1">
        <f>COUNTIFS('[1]Atendimentos Telefônicos'!$A$2:$A$2000,"&gt;=01/07/2024",'[1]Atendimentos Telefônicos'!$A$2:$A$2000,"&lt;01/10/2024")</f>
        <v>0</v>
      </c>
      <c r="AA13" s="29">
        <f>SUMIFS('[1]Atendimentos Telefônicos'!$I$2:$I$2000,'[1]Atendimentos Telefônicos'!$A$2:$A$2000,"&gt;=01/07/2024",'[1]Atendimentos Telefônicos'!$A$2:$A$2000,"&lt;01/10/2024")</f>
        <v>0</v>
      </c>
      <c r="AB13" s="22"/>
      <c r="AC13" s="28" t="str">
        <f>IFERROR(AVERAGEIFS([1]Manifestações!$M$2:$M$2000,[1]Manifestações!$A$2:$A$2000,"mail",[1]Manifestações!$M$2:$M$2000,"&gt;=0",[1]Manifestações!$B$2:$B$2000,"&gt;=01/07/2024",[1]Manifestações!$B$2:$B$2000,"&lt;01/10/2024",[1]Manifestações!$F$2:$F$2000, "&lt;&gt;Comunicação")," ")</f>
        <v xml:space="preserve"> </v>
      </c>
      <c r="AD13" s="28" t="str">
        <f>IFERROR(AVERAGEIFS([1]Manifestações!$M$2:$M$2000,[1]Manifestações!$A$2:$A$2000,"ouv",[1]Manifestações!$M$2:$M$2000,"&gt;=0",[1]Manifestações!$B$2:$B$2000,"&gt;=01/07/2024",[1]Manifestações!$B$2:$B$2000,"&lt;01/10/2024",[1]Manifestações!$F$2:$F$2000, "&lt;&gt;Comunicação")," ")</f>
        <v xml:space="preserve"> </v>
      </c>
      <c r="AE13" s="28" t="str">
        <f>IFERROR(AVERAGEIFS([1]Manifestações!$M$2:$M$2000,[1]Manifestações!$A$2:$A$2000,"sic",[1]Manifestações!$M$2:$M$2000,"&gt;=0",[1]Manifestações!$B$2:$B$2000,"&gt;=01/07/2024",[1]Manifestações!$B$2:$B$2000,"&lt;01/10/2024",[1]Manifestações!$F$2:$F$2000, "&lt;&gt;Comunicação")," ")</f>
        <v xml:space="preserve"> </v>
      </c>
      <c r="AF13" s="28" t="str">
        <f>IFERROR(AVERAGEIFS([1]Manifestações!$M$2:$M$2000,[1]Manifestações!$M$2:$M$2000,"&gt;=0",[1]Manifestações!$B$2:$B$2000,"&gt;=01/07/2024",[1]Manifestações!$B$2:$B$2000,"&lt;01/10/2024",[1]Manifestações!$F$2:$F$2000, "&lt;&gt;Comunicação")," ")</f>
        <v xml:space="preserve"> </v>
      </c>
      <c r="AG13" s="29" t="str">
        <f t="shared" si="11"/>
        <v xml:space="preserve"> </v>
      </c>
      <c r="AH13" s="28" t="str">
        <f>IFERROR(AVERAGEIFS([1]Manifestações!$M$2:$M$2000,[1]Manifestações!$G$2:$G$2000,"Acesso à informação",[1]Manifestações!$M$2:$M$2000,"&gt;=0",[1]Manifestações!$B$2:$B$2000,"&gt;=01/07/2024",[1]Manifestações!$B$2:$B$2000,"&lt;01/10/2024",[1]Manifestações!$F$2:$F$2000, "&lt;&gt;Comunicação")," ")</f>
        <v xml:space="preserve"> </v>
      </c>
      <c r="AI13" s="22"/>
      <c r="AJ13" s="1">
        <f t="shared" ref="AJ13:AU13" si="28">SUM(AJ10:AJ12)</f>
        <v>0</v>
      </c>
      <c r="AK13" s="1">
        <f t="shared" si="28"/>
        <v>0</v>
      </c>
      <c r="AL13" s="1">
        <f t="shared" si="28"/>
        <v>0</v>
      </c>
      <c r="AM13" s="1">
        <f t="shared" si="28"/>
        <v>0</v>
      </c>
      <c r="AN13" s="1">
        <f t="shared" si="28"/>
        <v>0</v>
      </c>
      <c r="AO13" s="1">
        <f t="shared" si="28"/>
        <v>0</v>
      </c>
      <c r="AP13" s="1">
        <f t="shared" si="28"/>
        <v>0</v>
      </c>
      <c r="AQ13" s="1">
        <f t="shared" si="28"/>
        <v>0</v>
      </c>
      <c r="AR13" s="1">
        <f t="shared" si="28"/>
        <v>0</v>
      </c>
      <c r="AS13" s="28">
        <f t="shared" si="28"/>
        <v>0</v>
      </c>
      <c r="AT13" s="1">
        <f t="shared" si="28"/>
        <v>0</v>
      </c>
      <c r="AU13" s="1">
        <f t="shared" si="28"/>
        <v>0</v>
      </c>
      <c r="AV13" s="1">
        <f t="shared" si="1"/>
        <v>0</v>
      </c>
      <c r="AW13" s="28" t="str">
        <f t="shared" si="2"/>
        <v xml:space="preserve"> </v>
      </c>
      <c r="AX13" s="28">
        <f t="shared" si="3"/>
        <v>0</v>
      </c>
      <c r="AY13" s="28" t="str">
        <f t="shared" si="4"/>
        <v xml:space="preserve"> </v>
      </c>
      <c r="AZ13" s="22"/>
      <c r="BA13" s="1">
        <f t="shared" ref="BA13:BL13" si="29">SUM(BA10:BA12)</f>
        <v>0</v>
      </c>
      <c r="BB13" s="1">
        <f t="shared" si="29"/>
        <v>0</v>
      </c>
      <c r="BC13" s="1">
        <f t="shared" si="29"/>
        <v>0</v>
      </c>
      <c r="BD13" s="1">
        <f t="shared" si="29"/>
        <v>0</v>
      </c>
      <c r="BE13" s="1">
        <f t="shared" si="29"/>
        <v>0</v>
      </c>
      <c r="BF13" s="1">
        <f t="shared" si="29"/>
        <v>0</v>
      </c>
      <c r="BG13" s="1">
        <f t="shared" si="29"/>
        <v>0</v>
      </c>
      <c r="BH13" s="1">
        <f t="shared" si="29"/>
        <v>0</v>
      </c>
      <c r="BI13" s="1">
        <f t="shared" si="29"/>
        <v>0</v>
      </c>
      <c r="BJ13" s="28">
        <f t="shared" si="29"/>
        <v>0</v>
      </c>
      <c r="BK13" s="1">
        <f t="shared" si="29"/>
        <v>0</v>
      </c>
      <c r="BL13" s="1">
        <f t="shared" si="29"/>
        <v>0</v>
      </c>
      <c r="BM13" s="1">
        <f t="shared" si="5"/>
        <v>0</v>
      </c>
      <c r="BN13" s="28" t="str">
        <f t="shared" ref="BN13:BN18" si="30">IF(SUM(BM13,BO13)&gt;0,BM13*100/(SUM(BM13,BO13))," ")</f>
        <v xml:space="preserve"> </v>
      </c>
      <c r="BO13" s="28">
        <f t="shared" si="6"/>
        <v>0</v>
      </c>
      <c r="BP13" s="28" t="str">
        <f t="shared" si="7"/>
        <v xml:space="preserve"> </v>
      </c>
      <c r="BQ13" s="23"/>
      <c r="BR13" s="1">
        <f t="shared" ref="BR13:CA13" si="31">SUM(BR10:BR12)</f>
        <v>0</v>
      </c>
      <c r="BS13" s="1">
        <f t="shared" si="31"/>
        <v>0</v>
      </c>
      <c r="BT13" s="1">
        <f t="shared" si="31"/>
        <v>0</v>
      </c>
      <c r="BU13" s="1">
        <f t="shared" si="31"/>
        <v>0</v>
      </c>
      <c r="BV13" s="1">
        <f t="shared" si="31"/>
        <v>0</v>
      </c>
      <c r="BW13" s="1">
        <f t="shared" si="31"/>
        <v>0</v>
      </c>
      <c r="BX13" s="1">
        <f t="shared" si="31"/>
        <v>0</v>
      </c>
      <c r="BY13" s="1">
        <f t="shared" si="31"/>
        <v>0</v>
      </c>
      <c r="BZ13" s="1">
        <f t="shared" si="31"/>
        <v>0</v>
      </c>
      <c r="CA13" s="1">
        <f t="shared" si="31"/>
        <v>0</v>
      </c>
      <c r="CB13" s="24"/>
      <c r="CC13" s="25"/>
      <c r="CD13" s="1">
        <f t="shared" ref="CD13:CJ13" si="32">SUM(CD10:CD12)</f>
        <v>0</v>
      </c>
      <c r="CE13" s="1">
        <f t="shared" si="32"/>
        <v>0</v>
      </c>
      <c r="CF13" s="1">
        <f t="shared" si="32"/>
        <v>0</v>
      </c>
      <c r="CG13" s="1">
        <f t="shared" si="32"/>
        <v>0</v>
      </c>
      <c r="CH13" s="1">
        <f t="shared" si="32"/>
        <v>0</v>
      </c>
      <c r="CI13" s="1">
        <f t="shared" si="32"/>
        <v>0</v>
      </c>
      <c r="CJ13" s="1">
        <f t="shared" si="32"/>
        <v>0</v>
      </c>
      <c r="CK13" s="26"/>
    </row>
    <row r="14" spans="1:89" ht="14.4" customHeight="1" x14ac:dyDescent="0.3">
      <c r="A14" s="7" t="s">
        <v>79</v>
      </c>
      <c r="B14" s="8">
        <f>COUNTIFS([1]Manifestações!$A$2:$A$2000,"mail",[1]Manifestações!$B$2:$B$2000,"&gt;=01/10/2024",[1]Manifestações!$B$2:$B$2000,"&lt;01/11/2024",[1]Manifestações!$F$2:$F$2000, "&lt;&gt;Comunicação")</f>
        <v>0</v>
      </c>
      <c r="C14" s="9">
        <f>COUNTIFS([1]Manifestações!$A$2:$A$2000,"mail",[1]Manifestações!$B$2:$B$2000,"&gt;=01/10/2024",[1]Manifestações!$B$2:$B$2000,"&lt;01/11/2024",[1]Manifestações!$L$2:$L$2000,"Finalizada",[1]Manifestações!$F$2:$F$2000, "&lt;&gt;Comunicação")</f>
        <v>0</v>
      </c>
      <c r="D14" s="8">
        <f>COUNTIFS([1]Manifestações!$A$2:$A$2000,"ouv",[1]Manifestações!$B$2:$B$2000,"&gt;=01/10/2024",[1]Manifestações!$B$2:$B$2000,"&lt;01/11/2024",[1]Manifestações!$F$2:$F$2000, "&lt;&gt;Comunicação")</f>
        <v>0</v>
      </c>
      <c r="E14" s="9">
        <f>COUNTIFS([1]Manifestações!$A$2:$A$2000,"ouv",[1]Manifestações!$B$2:$B$2000,"&gt;=01/10/2024",[1]Manifestações!$B$2:$B$2000,"&lt;01/11/2024",[1]Manifestações!$L$2:$L$2000,"Finalizada",[1]Manifestações!$F$2:$F$2000, "&lt;&gt;Comunicação")</f>
        <v>0</v>
      </c>
      <c r="F14" s="8">
        <f>COUNTIFS([1]Manifestações!$A$2:$A$2000,"sic",[1]Manifestações!$B$2:$B$2000,"&gt;=01/10/2024",[1]Manifestações!$B$2:$B$2000,"&lt;01/11/2024")</f>
        <v>0</v>
      </c>
      <c r="G14" s="9">
        <f>COUNTIFS([1]Manifestações!$A$2:$A$2000,"sic",[1]Manifestações!$B$2:$B$2000,"&gt;=01/10/2024",[1]Manifestações!$B$2:$B$2000,"&lt;01/11/2024",[1]Manifestações!$L$2:$L$2000,"Finalizada")</f>
        <v>0</v>
      </c>
      <c r="H14" s="8">
        <f t="shared" ref="H14:I16" si="33">SUM(B14,D14,F14)</f>
        <v>0</v>
      </c>
      <c r="I14" s="9">
        <f t="shared" si="33"/>
        <v>0</v>
      </c>
      <c r="J14" s="10" t="str">
        <f>IF(B14&gt;0,C14/B14*100," ")</f>
        <v xml:space="preserve"> </v>
      </c>
      <c r="K14" s="11" t="str">
        <f>IF(D14&gt;0,E14/D14*100," ")</f>
        <v xml:space="preserve"> </v>
      </c>
      <c r="L14" s="10" t="str">
        <f>IF(F14&gt;0,G14/F14*100," ")</f>
        <v xml:space="preserve"> </v>
      </c>
      <c r="M14" s="11" t="str">
        <f>IF(I14&gt;0,SUM(C14,E14,G14)/SUM(B14,D14,F14)*100," ")</f>
        <v xml:space="preserve"> </v>
      </c>
      <c r="N14" s="21"/>
      <c r="O14" s="9">
        <f>COUNTIFS([1]Manifestações!$F$2:$F$2000,"denúncia",[1]Manifestações!$B$2:$B$2000,"&gt;=01/10/2024",[1]Manifestações!$B$2:$B$2000,"&lt;01/11/2024")</f>
        <v>0</v>
      </c>
      <c r="P14" s="8">
        <f>COUNTIFS([1]Manifestações!$F$2:$F$2000,"reclamação",[1]Manifestações!$B$2:$B$2000,"&gt;=01/10/2024",[1]Manifestações!$B$2:$B$2000,"&lt;01/11/2024")</f>
        <v>0</v>
      </c>
      <c r="Q14" s="9">
        <f>COUNTIFS([1]Manifestações!$F$2:$F$2000,"solicitação",[1]Manifestações!$B$2:$B$2000,"&gt;=01/10/2024",[1]Manifestações!$B$2:$B$2000,"&lt;01/11/2024")</f>
        <v>0</v>
      </c>
      <c r="R14" s="8">
        <f>COUNTIFS([1]Manifestações!$F$2:$F$2000,"sugestão",[1]Manifestações!$B$2:$B$2000,"&gt;=01/10/2024",[1]Manifestações!$B$2:$B$2000,"&lt;01/11/2024")</f>
        <v>0</v>
      </c>
      <c r="S14" s="9">
        <f>COUNTIFS([1]Manifestações!$F$2:$F$2000,"elogio",[1]Manifestações!$B$2:$B$2000,"&gt;=01/10/2024",[1]Manifestações!$B$2:$B$2000,"&lt;01/11/2024")</f>
        <v>0</v>
      </c>
      <c r="T14" s="8">
        <f>COUNTIFS([1]Manifestações!$F$2:$F$2000,"simplifique",[1]Manifestações!$B$2:$B$2000,"&gt;=01/10/2024",[1]Manifestações!$B$2:$B$2000,"&lt;01/11/2024")</f>
        <v>0</v>
      </c>
      <c r="U14" s="9">
        <f>COUNTIFS([1]Manifestações!$F$2:$F$2000,"comunicação",[1]Manifestações!$B$2:$B$2000,"&gt;=01/10/2024",[1]Manifestações!$B$2:$B$2000,"&lt;01/11/2024")</f>
        <v>0</v>
      </c>
      <c r="V14" s="8">
        <f>COUNTIFS([1]Manifestações!$G$2:$G$2000,"Acesso à informação",[1]Manifestações!$B$2:$B$2000,"&gt;=01/10/2024",[1]Manifestações!$B$2:$B$2000,"&lt;01/11/2024")</f>
        <v>0</v>
      </c>
      <c r="W14" s="9">
        <f>COUNTIFS([1]Manifestações!$G$2:$G$2000,"Acesso à informação",[1]Manifestações!$B$2:$B$2000,"&gt;=01/10/2024",[1]Manifestações!$B$2:$B$2000,"&lt;01/11/2024",[1]Manifestações!$L$2:$L$2000,"Finalizada")</f>
        <v>0</v>
      </c>
      <c r="X14" s="9">
        <f>COUNTIFS([1]Manifestações!$F$2:$F$2000,"Atendimento Presencial",[1]Manifestações!$B$2:$B$2000,"&gt;=01/10/2024",[1]Manifestações!$B$2:$B$2000,"&lt;01/11/2024")</f>
        <v>0</v>
      </c>
      <c r="Y14" s="22"/>
      <c r="Z14" s="14">
        <f>COUNTIFS('[1]Atendimentos Telefônicos'!$A$2:$A$2000,"&gt;=01/10/2024",'[1]Atendimentos Telefônicos'!$A$2:$A$2000,"&lt;01/11/2024")</f>
        <v>0</v>
      </c>
      <c r="AA14" s="15">
        <f>SUMIFS('[1]Atendimentos Telefônicos'!$I$2:$I$2000,'[1]Atendimentos Telefônicos'!$A$2:$A$2000,"&gt;=01/10/2024",'[1]Atendimentos Telefônicos'!$A$2:$A$2000,"&lt;01/11/2024")</f>
        <v>0</v>
      </c>
      <c r="AB14" s="22"/>
      <c r="AC14" s="11" t="str">
        <f>IFERROR(AVERAGEIFS([1]Manifestações!$M$2:$M$2000,[1]Manifestações!$A$2:$A$2000,"mail",[1]Manifestações!$M$2:$M$2000,"&gt;=0",[1]Manifestações!$B$2:$B$2000,"&gt;=01/10/2024",[1]Manifestações!$B$2:$B$2000,"&lt;01/11/2024",[1]Manifestações!$F$2:$F$2000, "&lt;&gt;Comunicação")," ")</f>
        <v xml:space="preserve"> </v>
      </c>
      <c r="AD14" s="16" t="str">
        <f>IFERROR(AVERAGEIFS([1]Manifestações!$M$2:$M$2000,[1]Manifestações!$A$2:$A$2000,"ouv",[1]Manifestações!$M$2:$M$2000,"&gt;=0",[1]Manifestações!$B$2:$B$2000,"&gt;=01/10/2024",[1]Manifestações!$B$2:$B$2000,"&lt;01/11/2024",[1]Manifestações!$F$2:$F$2000, "&lt;&gt;Comunicação")," ")</f>
        <v xml:space="preserve"> </v>
      </c>
      <c r="AE14" s="11" t="str">
        <f>IFERROR(AVERAGEIFS([1]Manifestações!$M$2:$M$2000,[1]Manifestações!$A$2:$A$2000,"sic",[1]Manifestações!$M$2:$M$2000,"&gt;=0",[1]Manifestações!$B$2:$B$2000,"&gt;=01/10/2024",[1]Manifestações!$B$2:$B$2000,"&lt;01/11/2024",[1]Manifestações!$F$2:$F$2000, "&lt;&gt;Comunicação")," ")</f>
        <v xml:space="preserve"> </v>
      </c>
      <c r="AF14" s="16" t="str">
        <f>IFERROR(AVERAGEIFS([1]Manifestações!$M$2:$M$2000,[1]Manifestações!$M$2:$M$2000,"&gt;=0",[1]Manifestações!$B$2:$B$2000,"&gt;=01/10/2024",[1]Manifestações!$B$2:$B$2000,"&lt;01/11/2024",[1]Manifestações!$F$2:$F$2000, "&lt;&gt;Comunicação")," ")</f>
        <v xml:space="preserve"> </v>
      </c>
      <c r="AG14" s="15" t="str">
        <f t="shared" si="11"/>
        <v xml:space="preserve"> </v>
      </c>
      <c r="AH14" s="16" t="str">
        <f>IFERROR(AVERAGEIFS([1]Manifestações!$M$2:$M$2000,[1]Manifestações!$G$2:$G$2000,"Acesso à informação",[1]Manifestações!$M$2:$M$2000,"&gt;=0",[1]Manifestações!$B$2:$B$2000,"&gt;=01/10/2024",[1]Manifestações!$B$2:$B$2000,"&lt;01/11/2024",[1]Manifestações!$F$2:$F$2000, "&lt;&gt;Comunicação")," ")</f>
        <v xml:space="preserve"> </v>
      </c>
      <c r="AI14" s="22"/>
      <c r="AJ14" s="9">
        <f>COUNTIFS([1]Manifestações!$A$2:$A$2000,"mail",[1]Manifestações!$H$2:$H$2000,"física",[1]Manifestações!$B$2:$B$2000,"&gt;=01/10/2024",[1]Manifestações!$B$2:$B$2000,"&lt;01/11/2024")</f>
        <v>0</v>
      </c>
      <c r="AK14" s="8">
        <f>COUNTIFS([1]Manifestações!$A$2:$A$2000,"mail",[1]Manifestações!$H$2:$H$2000,"jurídica",[1]Manifestações!$B$2:$B$2000,"&gt;=01/10/2024",[1]Manifestações!$B$2:$B$2000,"&lt;01/11/2024")</f>
        <v>0</v>
      </c>
      <c r="AL14" s="9">
        <f>COUNTIFS([1]Manifestações!$A$2:$A$2000,"ouv",[1]Manifestações!$H$2:$H$2000,"física",[1]Manifestações!$B$2:$B$2000,"&gt;=01/10/2024",[1]Manifestações!$B$2:$B$2000,"&lt;01/11/2024")</f>
        <v>0</v>
      </c>
      <c r="AM14" s="8">
        <f>COUNTIFS([1]Manifestações!$A$2:$A$2000,"ouv",[1]Manifestações!$H$2:$H$2000,"jurídica",[1]Manifestações!$B$2:$B$2000,"&gt;=01/10/2024",[1]Manifestações!$B$2:$B$2000,"&lt;01/11/2024")</f>
        <v>0</v>
      </c>
      <c r="AN14" s="9">
        <f>COUNTIFS([1]Manifestações!$A$2:$A$2000,"sic",[1]Manifestações!$H$2:$H$2000,"física",[1]Manifestações!$B$2:$B$2000,"&gt;=01/10/2024",[1]Manifestações!$B$2:$B$2000,"&lt;01/11/2024")</f>
        <v>0</v>
      </c>
      <c r="AO14" s="8">
        <f>COUNTIFS([1]Manifestações!$A$2:$A$2000,"sic",[1]Manifestações!$H$2:$H$2000,"jurídica",[1]Manifestações!$B$2:$B$2000,"&gt;=01/10/2024",[1]Manifestações!$B$2:$B$2000,"&lt;01/11/2024")</f>
        <v>0</v>
      </c>
      <c r="AP14" s="9">
        <f>COUNTIFS([1]Manifestações!$A$2:$A$2000,"presencial",[1]Manifestações!$H$2:$H$2000,"física",[1]Manifestações!$B$2:$B$2000,"&gt;=01/10/2024",[1]Manifestações!$B$2:$B$2000,"&lt;01/11/2024")</f>
        <v>0</v>
      </c>
      <c r="AQ14" s="8">
        <f>COUNTIFS([1]Manifestações!$A$2:$A$2000,"presencial",[1]Manifestações!$H$2:$H$2000,"jurídica",[1]Manifestações!$B$2:$B$2000,"&gt;=01/10/2024",[1]Manifestações!$B$2:$B$2000,"&lt;01/11/2024")</f>
        <v>0</v>
      </c>
      <c r="AR14" s="9">
        <f>COUNTIFS([1]Manifestações!$H$2:$H$2000,"física",[1]Manifestações!$B$2:$B$2000,"&gt;=01/10/2024",[1]Manifestações!$B$2:$B$2000,"&lt;01/11/2024")</f>
        <v>0</v>
      </c>
      <c r="AS14" s="10">
        <f>COUNTIFS([1]Manifestações!$H$2:$H$2000,"jurídica",[1]Manifestações!$B$2:$B$2000,"&gt;=01/10/2024",[1]Manifestações!$B$2:$B$2000,"&lt;01/11/2024")</f>
        <v>0</v>
      </c>
      <c r="AT14" s="9">
        <f>COUNTIFS('[1]Atendimentos Telefônicos'!$E$2:$E$2000,"Física",'[1]Atendimentos Telefônicos'!$A$2:$A$2000,"&gt;=01/10/2024",'[1]Atendimentos Telefônicos'!$A$2:$A$2000,"&lt;01/11/2024")</f>
        <v>0</v>
      </c>
      <c r="AU14" s="8">
        <f>COUNTIFS('[1]Atendimentos Telefônicos'!$E$2:$E$2000,"Jurídica",'[1]Atendimentos Telefônicos'!$A$2:$A$2000,"&gt;=01/10/2024",'[1]Atendimentos Telefônicos'!$A$2:$A$2000,"&lt;01/11/2024")</f>
        <v>0</v>
      </c>
      <c r="AV14" s="9">
        <f t="shared" si="1"/>
        <v>0</v>
      </c>
      <c r="AW14" s="11" t="str">
        <f t="shared" si="2"/>
        <v xml:space="preserve"> </v>
      </c>
      <c r="AX14" s="10">
        <f t="shared" si="3"/>
        <v>0</v>
      </c>
      <c r="AY14" s="10" t="str">
        <f t="shared" si="4"/>
        <v xml:space="preserve"> </v>
      </c>
      <c r="AZ14" s="22"/>
      <c r="BA14" s="9">
        <f>COUNTIFS([1]Manifestações!$A$2:$A$2000,"mail",[1]Manifestações!$I$2:$I$2000,"Feminino",[1]Manifestações!$B$2:$B$2000,"&gt;=01/10/2024",[1]Manifestações!$B$2:$B$2000,"&lt;01/11/2024")</f>
        <v>0</v>
      </c>
      <c r="BB14" s="8">
        <f>COUNTIFS([1]Manifestações!$A$2:$A$2000,"mail",[1]Manifestações!$I$2:$I$2000,"Masculino",[1]Manifestações!$B$2:$B$2000,"&gt;=01/10/2024",[1]Manifestações!$B$2:$B$2000,"&lt;01/11/2024")</f>
        <v>0</v>
      </c>
      <c r="BC14" s="9">
        <f>COUNTIFS([1]Manifestações!$A$2:$A$2000,"ouv",[1]Manifestações!$I$2:$I$2000,"Feminino",[1]Manifestações!$B$2:$B$2000,"&gt;=01/10/2024",[1]Manifestações!$B$2:$B$2000,"&lt;01/11/2024")</f>
        <v>0</v>
      </c>
      <c r="BD14" s="8">
        <f>COUNTIFS([1]Manifestações!$A$2:$A$2000,"ouv",[1]Manifestações!$I$2:$I$2000,"Masculino",[1]Manifestações!$B$2:$B$2000,"&gt;=01/10/2024",[1]Manifestações!$B$2:$B$2000,"&lt;01/11/2024")</f>
        <v>0</v>
      </c>
      <c r="BE14" s="9">
        <f>COUNTIFS([1]Manifestações!$A$2:$A$2000,"sic",[1]Manifestações!$I$2:$I$2000,"Feminino",[1]Manifestações!$B$2:$B$2000,"&gt;=01/10/2024",[1]Manifestações!$B$2:$B$2000,"&lt;01/11/2024")</f>
        <v>0</v>
      </c>
      <c r="BF14" s="8">
        <f>COUNTIFS([1]Manifestações!$A$2:$A$2000,"sic",[1]Manifestações!$I$2:$I$2000,"Masculino",[1]Manifestações!$B$2:$B$2000,"&gt;=01/10/2024",[1]Manifestações!$B$2:$B$2000,"&lt;01/11/2024")</f>
        <v>0</v>
      </c>
      <c r="BG14" s="9">
        <f>COUNTIFS([1]Manifestações!$A$2:$A$2000,"presencial",[1]Manifestações!$I$2:$I$2000,"Feminino",[1]Manifestações!$B$2:$B$2000,"&gt;=01/10/2024",[1]Manifestações!$B$2:$B$2000,"&lt;01/11/2024")</f>
        <v>0</v>
      </c>
      <c r="BH14" s="8">
        <f>COUNTIFS([1]Manifestações!$A$2:$A$2000,"presencial",[1]Manifestações!$I$2:$I$2000,"Masculino",[1]Manifestações!$B$2:$B$2000,"&gt;=01/10/2024",[1]Manifestações!$B$2:$B$2000,"&lt;01/11/2024")</f>
        <v>0</v>
      </c>
      <c r="BI14" s="9">
        <f>COUNTIFS([1]Manifestações!$I$2:$I$2000,"Feminino",[1]Manifestações!$B$2:$B$2000,"&gt;=01/10/2024",[1]Manifestações!$B$2:$B$2000,"&lt;01/11/2024")</f>
        <v>0</v>
      </c>
      <c r="BJ14" s="10">
        <f>COUNTIFS([1]Manifestações!$I$2:$I$2000,"Masculino",[1]Manifestações!$B$2:$B$2000,"&gt;=01/10/2024",[1]Manifestações!$B$2:$B$2000,"&lt;01/11/2024")</f>
        <v>0</v>
      </c>
      <c r="BK14" s="9">
        <f>COUNTIFS('[1]Atendimentos Telefônicos'!$F$2:$F$2000,"Feminino",'[1]Atendimentos Telefônicos'!$A$2:$A$2000,"&gt;=01/10/2024",'[1]Atendimentos Telefônicos'!$A$2:$A$2000,"&lt;01/11/2024")</f>
        <v>0</v>
      </c>
      <c r="BL14" s="8">
        <f>COUNTIFS('[1]Atendimentos Telefônicos'!$F$2:$F$2000,"Masculino",'[1]Atendimentos Telefônicos'!$A$2:$A$2000,"&gt;=01/10/2024",'[1]Atendimentos Telefônicos'!$A$2:$A$2000,"&lt;01/11/2024")</f>
        <v>0</v>
      </c>
      <c r="BM14" s="9">
        <f t="shared" si="5"/>
        <v>0</v>
      </c>
      <c r="BN14" s="11" t="str">
        <f t="shared" si="30"/>
        <v xml:space="preserve"> </v>
      </c>
      <c r="BO14" s="10">
        <f t="shared" si="6"/>
        <v>0</v>
      </c>
      <c r="BP14" s="10" t="str">
        <f t="shared" si="7"/>
        <v xml:space="preserve"> </v>
      </c>
      <c r="BQ14" s="23"/>
      <c r="BR14" s="9">
        <f>COUNTIFS([1]Manifestações!$A$2:$A$2000,"mail",[1]Manifestações!$F$2:$F$2000,"solicitação",[1]Manifestações!$B$2:$B$2000,"&gt;=01/10/2024",[1]Manifestações!$B$2:$B$2000,"&lt;01/11/2024")</f>
        <v>0</v>
      </c>
      <c r="BS14" s="8">
        <f>COUNTIFS([1]Manifestações!$A$2:$A$2000,"mail",[1]Manifestações!$F$2:$F$2000,"reclamação",[1]Manifestações!$B$2:$B$2000,"&gt;=01/10/2024",[1]Manifestações!$B$2:$B$2000,"&lt;01/11/2024")</f>
        <v>0</v>
      </c>
      <c r="BT14" s="9">
        <f>COUNTIFS([1]Manifestações!$A$2:$A$2000,"mail",[1]Manifestações!$F$2:$F$2000,"denúncia",[1]Manifestações!$B$2:$B$2000,"&gt;=01/10/2024",[1]Manifestações!$B$2:$B$2000,"&lt;01/11/2024")</f>
        <v>0</v>
      </c>
      <c r="BU14" s="8">
        <f>COUNTIFS([1]Manifestações!$A$2:$A$2000,"mail",[1]Manifestações!$F$2:$F$2000,"sugestão",[1]Manifestações!$B$2:$B$2000,"&gt;=01/10/2024",[1]Manifestações!$B$2:$B$2000,"&lt;01/11/2024")</f>
        <v>0</v>
      </c>
      <c r="BV14" s="9">
        <f>COUNTIFS([1]Manifestações!$A$2:$A$2000,"mail",[1]Manifestações!$F$2:$F$2000,"elogio",[1]Manifestações!$B$2:$B$2000,"&gt;=01/10/2024",[1]Manifestações!$B$2:$B$2000,"&lt;01/11/2024")</f>
        <v>0</v>
      </c>
      <c r="BW14" s="8">
        <f>COUNTIFS([1]Manifestações!$A$2:$A$2000,"mail",[1]Manifestações!$F$2:$F$2000,"simplifique",[1]Manifestações!$B$2:$B$2000,"&gt;=01/10/2024",[1]Manifestações!$B$2:$B$2000,"&lt;01/11/2024")</f>
        <v>0</v>
      </c>
      <c r="BX14" s="9">
        <f>COUNTIFS([1]Manifestações!$A$2:$A$2000,"mail",[1]Manifestações!$D$2:$D$2000,"&lt;&gt;*Fale*",[1]Manifestações!$D$2:$D$2000,"&lt;&gt;*Redes*",[1]Manifestações!$B$2:$B$2000,"&gt;=01/10/2024",[1]Manifestações!$B$2:$B$2000,"&lt;01/11/2024")</f>
        <v>0</v>
      </c>
      <c r="BY14" s="9">
        <f>COUNTIFS([1]Manifestações!$A$2:$A$2000,"mail",[1]Manifestações!$D$2:$D$2000,"*Redes*",[1]Manifestações!$B$2:$B$2000,"&gt;=01/10/2024",[1]Manifestações!$B$2:$B$2000,"&lt;01/11/2024")</f>
        <v>0</v>
      </c>
      <c r="BZ14" s="9">
        <f>COUNTIFS([1]Manifestações!$A$2:$A$2000,"mail",[1]Manifestações!$D$2:$D$2000,"*Fale*",[1]Manifestações!$B$2:$B$2000,"&gt;=01/10/2024",[1]Manifestações!$B$2:$B$2000,"&lt;01/11/2024")</f>
        <v>0</v>
      </c>
      <c r="CA14" s="8">
        <f>COUNTIFS([1]Manifestações!$A$2:$A$2000,"mail",[1]Manifestações!$F$2:$F$2000,"comunicação",[1]Manifestações!$B$2:$B$2000,"&gt;=01/10/2024",[1]Manifestações!$B$2:$B$2000,"&lt;01/11/2024")</f>
        <v>0</v>
      </c>
      <c r="CB14" s="24"/>
      <c r="CC14" s="25"/>
      <c r="CD14" s="9">
        <f>COUNTIFS([1]Manifestações!$A$2:$A$2000,"ouv",[1]Manifestações!$F$2:$F$2000,"denúncia",[1]Manifestações!$B$2:$B$2000,"&gt;=01/10/2024",[1]Manifestações!$B$2:$B$2000,"&lt;01/11/2024")</f>
        <v>0</v>
      </c>
      <c r="CE14" s="8">
        <f>COUNTIFS([1]Manifestações!$A$2:$A$2000,"ouv",[1]Manifestações!$F$2:$F$2000,"reclamação",[1]Manifestações!$B$2:$B$2000,"&gt;=01/10/2024",[1]Manifestações!$B$2:$B$2000,"&lt;01/11/2024")</f>
        <v>0</v>
      </c>
      <c r="CF14" s="9">
        <f>COUNTIFS([1]Manifestações!$A$2:$A$2000,"ouv",[1]Manifestações!$F$2:$F$2000,"solicitação",[1]Manifestações!$B$2:$B$2000,"&gt;=01/10/2024",[1]Manifestações!$B$2:$B$2000,"&lt;01/11/2024")</f>
        <v>0</v>
      </c>
      <c r="CG14" s="8">
        <f>COUNTIFS([1]Manifestações!$A$2:$A$2000,"ouv",[1]Manifestações!$F$2:$F$2000,"sugestão",[1]Manifestações!$B$2:$B$2000,"&gt;=01/10/2024",[1]Manifestações!$B$2:$B$2000,"&lt;01/11/2024")</f>
        <v>0</v>
      </c>
      <c r="CH14" s="9">
        <f>COUNTIFS([1]Manifestações!$A$2:$A$2000,"ouv",[1]Manifestações!$F$2:$F$2000,"elogio",[1]Manifestações!$B$2:$B$2000,"&gt;=01/10/2024",[1]Manifestações!$B$2:$B$2000,"&lt;01/11/2024")</f>
        <v>0</v>
      </c>
      <c r="CI14" s="8">
        <f>COUNTIFS([1]Manifestações!$A$2:$A$2000,"ouv",[1]Manifestações!$F$2:$F$2000,"comunicação",[1]Manifestações!$B$2:$B$2000,"&gt;=01/10/2024",[1]Manifestações!$B$2:$B$2000,"&lt;01/11/2024")</f>
        <v>0</v>
      </c>
      <c r="CJ14" s="14">
        <f>COUNTIFS([1]Manifestações!$A$2:$A$2000,"ouv",[1]Manifestações!$F$2:$F$2000,"simplifique",[1]Manifestações!$B$2:$B$2000,"&gt;=01/10/2024",[1]Manifestações!$B$2:$B$2000,"&lt;01/11/2024")</f>
        <v>0</v>
      </c>
      <c r="CK14" s="26"/>
    </row>
    <row r="15" spans="1:89" ht="14.4" customHeight="1" x14ac:dyDescent="0.3">
      <c r="A15" s="7" t="s">
        <v>80</v>
      </c>
      <c r="B15" s="8">
        <f>COUNTIFS([1]Manifestações!$A$2:$A$2000,"mail",[1]Manifestações!$B$2:$B$2000,"&gt;=01/11/2024",[1]Manifestações!$B$2:$B$2000,"&lt;01/12/2024",[1]Manifestações!$F$2:$F$2000, "&lt;&gt;Comunicação")</f>
        <v>0</v>
      </c>
      <c r="C15" s="9">
        <f>COUNTIFS([1]Manifestações!$A$2:$A$2000,"mail",[1]Manifestações!$B$2:$B$2000,"&gt;=01/11/2024",[1]Manifestações!$B$2:$B$2000,"&lt;01/12/2024",[1]Manifestações!$L$2:$L$2000,"Finalizada",[1]Manifestações!$F$2:$F$2000, "&lt;&gt;Comunicação")</f>
        <v>0</v>
      </c>
      <c r="D15" s="8">
        <f>COUNTIFS([1]Manifestações!$A$2:$A$2000,"ouv",[1]Manifestações!$B$2:$B$2000,"&gt;=01/11/2024",[1]Manifestações!$B$2:$B$2000,"&lt;01/12/2024",[1]Manifestações!$F$2:$F$2000, "&lt;&gt;Comunicação")</f>
        <v>0</v>
      </c>
      <c r="E15" s="9">
        <f>COUNTIFS([1]Manifestações!$A$2:$A$2000,"ouv",[1]Manifestações!$B$2:$B$2000,"&gt;=01/11/2024",[1]Manifestações!$B$2:$B$2000,"&lt;01/12/2024",[1]Manifestações!$L$2:$L$2000,"Finalizada",[1]Manifestações!$F$2:$F$2000, "&lt;&gt;Comunicação")</f>
        <v>0</v>
      </c>
      <c r="F15" s="8">
        <f>COUNTIFS([1]Manifestações!$A$2:$A$2000,"sic",[1]Manifestações!$B$2:$B$2000,"&gt;=01/11/2024",[1]Manifestações!$B$2:$B$2000,"&lt;01/12/2024")</f>
        <v>0</v>
      </c>
      <c r="G15" s="9">
        <f>COUNTIFS([1]Manifestações!$A$2:$A$2000,"sic",[1]Manifestações!$B$2:$B$2000,"&gt;=01/11/2024",[1]Manifestações!$B$2:$B$2000,"&lt;01/12/2024",[1]Manifestações!$L$2:$L$2000,"Finalizada")</f>
        <v>0</v>
      </c>
      <c r="H15" s="8">
        <f t="shared" si="33"/>
        <v>0</v>
      </c>
      <c r="I15" s="9">
        <f t="shared" si="33"/>
        <v>0</v>
      </c>
      <c r="J15" s="10" t="str">
        <f>IF(B15&gt;0,C15/B15*100," ")</f>
        <v xml:space="preserve"> </v>
      </c>
      <c r="K15" s="11" t="str">
        <f>IF(D15&gt;0,E15/D15*100," ")</f>
        <v xml:space="preserve"> </v>
      </c>
      <c r="L15" s="10" t="str">
        <f>IF(F15&gt;0,G15/F15*100," ")</f>
        <v xml:space="preserve"> </v>
      </c>
      <c r="M15" s="11" t="str">
        <f>IF(I15&gt;0,SUM(C15,E15,G15)/SUM(B15,D15,F15)*100," ")</f>
        <v xml:space="preserve"> </v>
      </c>
      <c r="N15" s="21"/>
      <c r="O15" s="9">
        <f>COUNTIFS([1]Manifestações!$F$2:$F$2000,"denúncia",[1]Manifestações!$B$2:$B$2000,"&gt;=01/11/2024",[1]Manifestações!$B$2:$B$2000,"&lt;01/12/2024")</f>
        <v>0</v>
      </c>
      <c r="P15" s="8">
        <f>COUNTIFS([1]Manifestações!$F$2:$F$2000,"reclamação",[1]Manifestações!$B$2:$B$2000,"&gt;=01/11/2024",[1]Manifestações!$B$2:$B$2000,"&lt;01/12/2024")</f>
        <v>0</v>
      </c>
      <c r="Q15" s="9">
        <f>COUNTIFS([1]Manifestações!$F$2:$F$2000,"solicitação",[1]Manifestações!$B$2:$B$2000,"&gt;=01/11/2024",[1]Manifestações!$B$2:$B$2000,"&lt;01/12/2024")</f>
        <v>0</v>
      </c>
      <c r="R15" s="8">
        <f>COUNTIFS([1]Manifestações!$F$2:$F$2000,"sugestão",[1]Manifestações!$B$2:$B$2000,"&gt;=01/11/2024",[1]Manifestações!$B$2:$B$2000,"&lt;01/12/2024")</f>
        <v>0</v>
      </c>
      <c r="S15" s="9">
        <f>COUNTIFS([1]Manifestações!$F$2:$F$2000,"elogio",[1]Manifestações!$B$2:$B$2000,"&gt;=01/11/2024",[1]Manifestações!$B$2:$B$2000,"&lt;01/12/2024")</f>
        <v>0</v>
      </c>
      <c r="T15" s="8">
        <f>COUNTIFS([1]Manifestações!$F$2:$F$2000,"simplifique",[1]Manifestações!$B$2:$B$2000,"&gt;=01/11/2024",[1]Manifestações!$B$2:$B$2000,"&lt;01/12/2024")</f>
        <v>0</v>
      </c>
      <c r="U15" s="9">
        <f>COUNTIFS([1]Manifestações!$F$2:$F$2000,"comunicação",[1]Manifestações!$B$2:$B$2000,"&gt;=01/11/2024",[1]Manifestações!$B$2:$B$2000,"&lt;01/12/2024")</f>
        <v>0</v>
      </c>
      <c r="V15" s="8">
        <f>COUNTIFS([1]Manifestações!$G$2:$G$2000,"Acesso à informação",[1]Manifestações!$B$2:$B$2000,"&gt;=01/11/2024",[1]Manifestações!$B$2:$B$2000,"&lt;01/12/2024")</f>
        <v>0</v>
      </c>
      <c r="W15" s="9">
        <f>COUNTIFS([1]Manifestações!$G$2:$G$2000,"Acesso à informação",[1]Manifestações!$B$2:$B$2000,"&gt;=01/11/2024",[1]Manifestações!$B$2:$B$2000,"&lt;01/12/2024",[1]Manifestações!$L$2:$L$2000,"Finalizada")</f>
        <v>0</v>
      </c>
      <c r="X15" s="9">
        <f>COUNTIFS([1]Manifestações!$F$2:$F$2000,"Atendimento Presencial",[1]Manifestações!$B$2:$B$2000,"&gt;=01/11/2024",[1]Manifestações!$B$2:$B$2000,"&lt;01/12/2024")</f>
        <v>0</v>
      </c>
      <c r="Y15" s="22"/>
      <c r="Z15" s="14">
        <f>COUNTIFS('[1]Atendimentos Telefônicos'!$A$2:$A$2000,"&gt;=01/11/2024",'[1]Atendimentos Telefônicos'!$A$2:$A$2000,"&lt;01/12/2024")</f>
        <v>0</v>
      </c>
      <c r="AA15" s="15">
        <f>SUMIFS('[1]Atendimentos Telefônicos'!$I$2:$I$2000,'[1]Atendimentos Telefônicos'!$A$2:$A$2000,"&gt;=01/11/2024",'[1]Atendimentos Telefônicos'!$A$2:$A$2000,"&lt;01/12/2024")</f>
        <v>0</v>
      </c>
      <c r="AB15" s="22"/>
      <c r="AC15" s="11" t="str">
        <f>IFERROR(AVERAGEIFS([1]Manifestações!$M$2:$M$2000,[1]Manifestações!$A$2:$A$2000,"mail",[1]Manifestações!$M$2:$M$2000,"&gt;=0",[1]Manifestações!$B$2:$B$2000,"&gt;=01/11/2024",[1]Manifestações!$B$2:$B$2000,"&lt;01/12/2024",[1]Manifestações!$F$2:$F$2000, "&lt;&gt;Comunicação")," ")</f>
        <v xml:space="preserve"> </v>
      </c>
      <c r="AD15" s="16" t="str">
        <f>IFERROR(AVERAGEIFS([1]Manifestações!$M$2:$M$2000,[1]Manifestações!$A$2:$A$2000,"ouv",[1]Manifestações!$M$2:$M$2000,"&gt;=0",[1]Manifestações!$B$2:$B$2000,"&gt;=01/11/2024",[1]Manifestações!$B$2:$B$2000,"&lt;01/12/2024",[1]Manifestações!$F$2:$F$2000, "&lt;&gt;Comunicação")," ")</f>
        <v xml:space="preserve"> </v>
      </c>
      <c r="AE15" s="11" t="str">
        <f>IFERROR(AVERAGEIFS([1]Manifestações!$M$2:$M$2000,[1]Manifestações!$A$2:$A$2000,"sic",[1]Manifestações!$M$2:$M$2000,"&gt;=0",[1]Manifestações!$B$2:$B$2000,"&gt;=01/11/2024",[1]Manifestações!$B$2:$B$2000,"&lt;01/12/2024",[1]Manifestações!$F$2:$F$2000, "&lt;&gt;Comunicação")," ")</f>
        <v xml:space="preserve"> </v>
      </c>
      <c r="AF15" s="16" t="str">
        <f>IFERROR(AVERAGEIFS([1]Manifestações!$M$2:$M$2000,[1]Manifestações!$M$2:$M$2000,"&gt;=0",[1]Manifestações!$B$2:$B$2000,"&gt;=01/11/2024",[1]Manifestações!$B$2:$B$2000,"&lt;01/12/2024",[1]Manifestações!$F$2:$F$2000, "&lt;&gt;Comunicação")," ")</f>
        <v xml:space="preserve"> </v>
      </c>
      <c r="AG15" s="15" t="str">
        <f t="shared" si="11"/>
        <v xml:space="preserve"> </v>
      </c>
      <c r="AH15" s="16" t="str">
        <f>IFERROR(AVERAGEIFS([1]Manifestações!$M$2:$M$2000,[1]Manifestações!$G$2:$G$2000,"Acesso à informação",[1]Manifestações!$M$2:$M$2000,"&gt;=0",[1]Manifestações!$B$2:$B$2000,"&gt;=01/11/2024",[1]Manifestações!$B$2:$B$2000,"&lt;01/12/2024",[1]Manifestações!$F$2:$F$2000, "&lt;&gt;Comunicação")," ")</f>
        <v xml:space="preserve"> </v>
      </c>
      <c r="AI15" s="22"/>
      <c r="AJ15" s="9">
        <f>COUNTIFS([1]Manifestações!$A$2:$A$2000,"mail",[1]Manifestações!$H$2:$H$2000,"física",[1]Manifestações!$B$2:$B$2000,"&gt;=01/11/2024",[1]Manifestações!$B$2:$B$2000,"&lt;01/12/2024")</f>
        <v>0</v>
      </c>
      <c r="AK15" s="8">
        <f>COUNTIFS([1]Manifestações!$A$2:$A$2000,"mail",[1]Manifestações!$H$2:$H$2000,"jurídica",[1]Manifestações!$B$2:$B$2000,"&gt;=01/11/2024",[1]Manifestações!$B$2:$B$2000,"&lt;01/12/2024")</f>
        <v>0</v>
      </c>
      <c r="AL15" s="9">
        <f>COUNTIFS([1]Manifestações!$A$2:$A$2000,"ouv",[1]Manifestações!$H$2:$H$2000,"física",[1]Manifestações!$B$2:$B$2000,"&gt;=01/11/2024",[1]Manifestações!$B$2:$B$2000,"&lt;01/12/2024")</f>
        <v>0</v>
      </c>
      <c r="AM15" s="8">
        <f>COUNTIFS([1]Manifestações!$A$2:$A$2000,"ouv",[1]Manifestações!$H$2:$H$2000,"jurídica",[1]Manifestações!$B$2:$B$2000,"&gt;=01/11/2024",[1]Manifestações!$B$2:$B$2000,"&lt;01/12/2024")</f>
        <v>0</v>
      </c>
      <c r="AN15" s="9">
        <f>COUNTIFS([1]Manifestações!$A$2:$A$2000,"sic",[1]Manifestações!$H$2:$H$2000,"física",[1]Manifestações!$B$2:$B$2000,"&gt;=01/11/2024",[1]Manifestações!$B$2:$B$2000,"&lt;01/12/2024")</f>
        <v>0</v>
      </c>
      <c r="AO15" s="8">
        <f>COUNTIFS([1]Manifestações!$A$2:$A$2000,"sic",[1]Manifestações!$H$2:$H$2000,"jurídica",[1]Manifestações!$B$2:$B$2000,"&gt;=01/11/2024",[1]Manifestações!$B$2:$B$2000,"&lt;01/12/2024")</f>
        <v>0</v>
      </c>
      <c r="AP15" s="9">
        <f>COUNTIFS([1]Manifestações!$A$2:$A$2000,"presencial",[1]Manifestações!$H$2:$H$2000,"física",[1]Manifestações!$B$2:$B$2000,"&gt;=01/11/2024",[1]Manifestações!$B$2:$B$2000,"&lt;01/12/2024")</f>
        <v>0</v>
      </c>
      <c r="AQ15" s="8">
        <f>COUNTIFS([1]Manifestações!$A$2:$A$2000,"presencial",[1]Manifestações!$H$2:$H$2000,"jurídica",[1]Manifestações!$B$2:$B$2000,"&gt;=01/11/2024",[1]Manifestações!$B$2:$B$2000,"&lt;01/12/2024")</f>
        <v>0</v>
      </c>
      <c r="AR15" s="9">
        <f>COUNTIFS([1]Manifestações!$H$2:$H$2000,"física",[1]Manifestações!$B$2:$B$2000,"&gt;=01/11/2024",[1]Manifestações!$B$2:$B$2000,"&lt;01/12/2024")</f>
        <v>0</v>
      </c>
      <c r="AS15" s="10">
        <f>COUNTIFS([1]Manifestações!$H$2:$H$2000,"jurídica",[1]Manifestações!$B$2:$B$2000,"&gt;=01/11/2024",[1]Manifestações!$B$2:$B$2000,"&lt;01/12/2024")</f>
        <v>0</v>
      </c>
      <c r="AT15" s="9">
        <f>COUNTIFS('[1]Atendimentos Telefônicos'!$E$2:$E$2000,"Física",'[1]Atendimentos Telefônicos'!$A$2:$A$2000,"&gt;=01/11/2024",'[1]Atendimentos Telefônicos'!$A$2:$A$2000,"&lt;01/12/2024")</f>
        <v>0</v>
      </c>
      <c r="AU15" s="8">
        <f>COUNTIFS('[1]Atendimentos Telefônicos'!$E$2:$E$2000,"Jurídica",'[1]Atendimentos Telefônicos'!$A$2:$A$2000,"&gt;=01/11/2024",'[1]Atendimentos Telefônicos'!$A$2:$A$2000,"&lt;01/12/2024")</f>
        <v>0</v>
      </c>
      <c r="AV15" s="9">
        <f t="shared" si="1"/>
        <v>0</v>
      </c>
      <c r="AW15" s="11" t="str">
        <f t="shared" si="2"/>
        <v xml:space="preserve"> </v>
      </c>
      <c r="AX15" s="10">
        <f t="shared" si="3"/>
        <v>0</v>
      </c>
      <c r="AY15" s="10" t="str">
        <f t="shared" si="4"/>
        <v xml:space="preserve"> </v>
      </c>
      <c r="AZ15" s="22"/>
      <c r="BA15" s="9">
        <f>COUNTIFS([1]Manifestações!$A$2:$A$2000,"mail",[1]Manifestações!$I$2:$I$2000,"Feminino",[1]Manifestações!$B$2:$B$2000,"&gt;=01/11/2024",[1]Manifestações!$B$2:$B$2000,"&lt;01/12/2024")</f>
        <v>0</v>
      </c>
      <c r="BB15" s="8">
        <f>COUNTIFS([1]Manifestações!$A$2:$A$2000,"mail",[1]Manifestações!$I$2:$I$2000,"Masculino",[1]Manifestações!$B$2:$B$2000,"&gt;=01/11/2024",[1]Manifestações!$B$2:$B$2000,"&lt;01/12/2024")</f>
        <v>0</v>
      </c>
      <c r="BC15" s="9">
        <f>COUNTIFS([1]Manifestações!$A$2:$A$2000,"ouv",[1]Manifestações!$I$2:$I$2000,"Feminino",[1]Manifestações!$B$2:$B$2000,"&gt;=01/11/2024",[1]Manifestações!$B$2:$B$2000,"&lt;01/12/2024")</f>
        <v>0</v>
      </c>
      <c r="BD15" s="8">
        <f>COUNTIFS([1]Manifestações!$A$2:$A$2000,"ouv",[1]Manifestações!$I$2:$I$2000,"Masculino",[1]Manifestações!$B$2:$B$2000,"&gt;=01/11/2024",[1]Manifestações!$B$2:$B$2000,"&lt;01/12/2024")</f>
        <v>0</v>
      </c>
      <c r="BE15" s="9">
        <f>COUNTIFS([1]Manifestações!$A$2:$A$2000,"sic",[1]Manifestações!$I$2:$I$2000,"Feminino",[1]Manifestações!$B$2:$B$2000,"&gt;=01/11/2024",[1]Manifestações!$B$2:$B$2000,"&lt;01/12/2024")</f>
        <v>0</v>
      </c>
      <c r="BF15" s="8">
        <f>COUNTIFS([1]Manifestações!$A$2:$A$2000,"sic",[1]Manifestações!$I$2:$I$2000,"Masculino",[1]Manifestações!$B$2:$B$2000,"&gt;=01/11/2024",[1]Manifestações!$B$2:$B$2000,"&lt;01/12/2024")</f>
        <v>0</v>
      </c>
      <c r="BG15" s="9">
        <f>COUNTIFS([1]Manifestações!$A$2:$A$2000,"presencial",[1]Manifestações!$I$2:$I$2000,"Feminino",[1]Manifestações!$B$2:$B$2000,"&gt;=01/11/2024",[1]Manifestações!$B$2:$B$2000,"&lt;01/12/2024")</f>
        <v>0</v>
      </c>
      <c r="BH15" s="8">
        <f>COUNTIFS([1]Manifestações!$A$2:$A$2000,"presencial",[1]Manifestações!$I$2:$I$2000,"Masculino",[1]Manifestações!$B$2:$B$2000,"&gt;=01/11/2024",[1]Manifestações!$B$2:$B$2000,"&lt;01/12/2024")</f>
        <v>0</v>
      </c>
      <c r="BI15" s="9">
        <f>COUNTIFS([1]Manifestações!$I$2:$I$2000,"Feminino",[1]Manifestações!$B$2:$B$2000,"&gt;=01/11/2024",[1]Manifestações!$B$2:$B$2000,"&lt;01/12/2024")</f>
        <v>0</v>
      </c>
      <c r="BJ15" s="10">
        <f>COUNTIFS([1]Manifestações!$I$2:$I$2000,"Masculino",[1]Manifestações!$B$2:$B$2000,"&gt;=01/11/2024",[1]Manifestações!$B$2:$B$2000,"&lt;01/12/2024")</f>
        <v>0</v>
      </c>
      <c r="BK15" s="9">
        <f>COUNTIFS('[1]Atendimentos Telefônicos'!$F$2:$F$2000,"Feminino",'[1]Atendimentos Telefônicos'!$A$2:$A$2000,"&gt;=01/11/2024",'[1]Atendimentos Telefônicos'!$A$2:$A$2000,"&lt;01/12/2024")</f>
        <v>0</v>
      </c>
      <c r="BL15" s="8">
        <f>COUNTIFS('[1]Atendimentos Telefônicos'!$F$2:$F$2000,"Masculino",'[1]Atendimentos Telefônicos'!$A$2:$A$2000,"&gt;=01/11/2024",'[1]Atendimentos Telefônicos'!$A$2:$A$2000,"&lt;01/12/2024")</f>
        <v>0</v>
      </c>
      <c r="BM15" s="9">
        <f t="shared" si="5"/>
        <v>0</v>
      </c>
      <c r="BN15" s="11" t="str">
        <f t="shared" si="30"/>
        <v xml:space="preserve"> </v>
      </c>
      <c r="BO15" s="10">
        <f t="shared" si="6"/>
        <v>0</v>
      </c>
      <c r="BP15" s="10" t="str">
        <f t="shared" si="7"/>
        <v xml:space="preserve"> </v>
      </c>
      <c r="BQ15" s="23"/>
      <c r="BR15" s="9">
        <f>COUNTIFS([1]Manifestações!$A$2:$A$2000,"mail",[1]Manifestações!$F$2:$F$2000,"solicitação",[1]Manifestações!$B$2:$B$2000,"&gt;=01/11/2024",[1]Manifestações!$B$2:$B$2000,"&lt;01/12/2024")</f>
        <v>0</v>
      </c>
      <c r="BS15" s="8">
        <f>COUNTIFS([1]Manifestações!$A$2:$A$2000,"mail",[1]Manifestações!$F$2:$F$2000,"reclamação",[1]Manifestações!$B$2:$B$2000,"&gt;=01/11/2024",[1]Manifestações!$B$2:$B$2000,"&lt;01/12/2024")</f>
        <v>0</v>
      </c>
      <c r="BT15" s="9">
        <f>COUNTIFS([1]Manifestações!$A$2:$A$2000,"mail",[1]Manifestações!$F$2:$F$2000,"denúncia",[1]Manifestações!$B$2:$B$2000,"&gt;=01/11/2024",[1]Manifestações!$B$2:$B$2000,"&lt;01/12/2024")</f>
        <v>0</v>
      </c>
      <c r="BU15" s="8">
        <f>COUNTIFS([1]Manifestações!$A$2:$A$2000,"mail",[1]Manifestações!$F$2:$F$2000,"sugestão",[1]Manifestações!$B$2:$B$2000,"&gt;=01/11/2024",[1]Manifestações!$B$2:$B$2000,"&lt;01/12/2024")</f>
        <v>0</v>
      </c>
      <c r="BV15" s="9">
        <f>COUNTIFS([1]Manifestações!$A$2:$A$2000,"mail",[1]Manifestações!$F$2:$F$2000,"elogio",[1]Manifestações!$B$2:$B$2000,"&gt;=01/11/2024",[1]Manifestações!$B$2:$B$2000,"&lt;01/12/2024")</f>
        <v>0</v>
      </c>
      <c r="BW15" s="8">
        <f>COUNTIFS([1]Manifestações!$A$2:$A$2000,"mail",[1]Manifestações!$F$2:$F$2000,"simplifique",[1]Manifestações!$B$2:$B$2000,"&gt;=01/11/2024",[1]Manifestações!$B$2:$B$2000,"&lt;01/12/2024")</f>
        <v>0</v>
      </c>
      <c r="BX15" s="9">
        <f>COUNTIFS([1]Manifestações!$A$2:$A$2000,"mail",[1]Manifestações!$D$2:$D$2000,"&lt;&gt;*Fale*",[1]Manifestações!$D$2:$D$2000,"&lt;&gt;*Redes*",[1]Manifestações!$B$2:$B$2000,"&gt;=01/11/2024",[1]Manifestações!$B$2:$B$2000,"&lt;01/12/2024")</f>
        <v>0</v>
      </c>
      <c r="BY15" s="9">
        <f>COUNTIFS([1]Manifestações!$A$2:$A$2000,"mail",[1]Manifestações!$D$2:$D$2000,"*Redes*",[1]Manifestações!$B$2:$B$2000,"&gt;=01/11/2024",[1]Manifestações!$B$2:$B$2000,"&lt;01/12/2024")</f>
        <v>0</v>
      </c>
      <c r="BZ15" s="9">
        <f>COUNTIFS([1]Manifestações!$A$2:$A$2000,"mail",[1]Manifestações!$D$2:$D$2000,"*Fale*",[1]Manifestações!$B$2:$B$2000,"&gt;=01/11/2024",[1]Manifestações!$B$2:$B$2000,"&lt;01/12/2024")</f>
        <v>0</v>
      </c>
      <c r="CA15" s="8">
        <f>COUNTIFS([1]Manifestações!$A$2:$A$2000,"mail",[1]Manifestações!$F$2:$F$2000,"comunicação",[1]Manifestações!$B$2:$B$2000,"&gt;=01/11/2024",[1]Manifestações!$B$2:$B$2000,"&lt;01/12/2024")</f>
        <v>0</v>
      </c>
      <c r="CB15" s="24"/>
      <c r="CC15" s="25"/>
      <c r="CD15" s="9">
        <f>COUNTIFS([1]Manifestações!$A$2:$A$2000,"ouv",[1]Manifestações!$F$2:$F$2000,"denúncia",[1]Manifestações!$B$2:$B$2000,"&gt;=01/11/2024",[1]Manifestações!$B$2:$B$2000,"&lt;01/12/2024")</f>
        <v>0</v>
      </c>
      <c r="CE15" s="8">
        <f>COUNTIFS([1]Manifestações!$A$2:$A$2000,"ouv",[1]Manifestações!$F$2:$F$2000,"reclamação",[1]Manifestações!$B$2:$B$2000,"&gt;=01/11/2024",[1]Manifestações!$B$2:$B$2000,"&lt;01/12/2024")</f>
        <v>0</v>
      </c>
      <c r="CF15" s="9">
        <f>COUNTIFS([1]Manifestações!$A$2:$A$2000,"ouv",[1]Manifestações!$F$2:$F$2000,"solicitação",[1]Manifestações!$B$2:$B$2000,"&gt;=01/11/2024",[1]Manifestações!$B$2:$B$2000,"&lt;01/12/2024")</f>
        <v>0</v>
      </c>
      <c r="CG15" s="8">
        <f>COUNTIFS([1]Manifestações!$A$2:$A$2000,"ouv",[1]Manifestações!$F$2:$F$2000,"sugestão",[1]Manifestações!$B$2:$B$2000,"&gt;=01/11/2024",[1]Manifestações!$B$2:$B$2000,"&lt;01/12/2024")</f>
        <v>0</v>
      </c>
      <c r="CH15" s="9">
        <f>COUNTIFS([1]Manifestações!$A$2:$A$2000,"ouv",[1]Manifestações!$F$2:$F$2000,"elogio",[1]Manifestações!$B$2:$B$2000,"&gt;=01/11/2024",[1]Manifestações!$B$2:$B$2000,"&lt;01/12/2024")</f>
        <v>0</v>
      </c>
      <c r="CI15" s="8">
        <f>COUNTIFS([1]Manifestações!$A$2:$A$2000,"ouv",[1]Manifestações!$F$2:$F$2000,"comunicação",[1]Manifestações!$B$2:$B$2000,"&gt;=01/11/2024",[1]Manifestações!$B$2:$B$2000,"&lt;01/12/2024")</f>
        <v>0</v>
      </c>
      <c r="CJ15" s="14">
        <f>COUNTIFS([1]Manifestações!$A$2:$A$2000,"ouv",[1]Manifestações!$F$2:$F$2000,"simplifique",[1]Manifestações!$B$2:$B$2000,"&gt;=01/11/2024",[1]Manifestações!$B$2:$B$2000,"&lt;01/12/2024")</f>
        <v>0</v>
      </c>
      <c r="CK15" s="26"/>
    </row>
    <row r="16" spans="1:89" ht="14.4" customHeight="1" x14ac:dyDescent="0.3">
      <c r="A16" s="7" t="s">
        <v>81</v>
      </c>
      <c r="B16" s="8">
        <f>COUNTIFS([1]Manifestações!$A$2:$A$2000,"mail",[1]Manifestações!$B$2:$B$2000,"&gt;=01/12/2024",[1]Manifestações!$B$2:$B$2000,"&lt;01/01/2025",[1]Manifestações!$F$2:$F$2000, "&lt;&gt;Comunicação")</f>
        <v>0</v>
      </c>
      <c r="C16" s="9">
        <f>COUNTIFS([1]Manifestações!$A$2:$A$2000,"mail",[1]Manifestações!$B$2:$B$2000,"&gt;=01/12/2024",[1]Manifestações!$B$2:$B$2000,"&lt;01/01/2025",[1]Manifestações!$L$2:$L$2000,"Finalizada",[1]Manifestações!$F$2:$F$2000, "&lt;&gt;Comunicação")</f>
        <v>0</v>
      </c>
      <c r="D16" s="8">
        <f>COUNTIFS([1]Manifestações!$A$2:$A$2000,"ouv",[1]Manifestações!$B$2:$B$2000,"&gt;=01/12/2024",[1]Manifestações!$B$2:$B$2000,"&lt;01/01/2025",[1]Manifestações!$F$2:$F$2000, "&lt;&gt;Comunicação")</f>
        <v>0</v>
      </c>
      <c r="E16" s="9">
        <f>COUNTIFS([1]Manifestações!$A$2:$A$2000,"ouv",[1]Manifestações!$B$2:$B$2000,"&gt;=01/12/2024",[1]Manifestações!$B$2:$B$2000,"&lt;01/01/2025",[1]Manifestações!$L$2:$L$2000,"Finalizada",[1]Manifestações!$F$2:$F$2000, "&lt;&gt;Comunicação")</f>
        <v>0</v>
      </c>
      <c r="F16" s="8">
        <f>COUNTIFS([1]Manifestações!$A$2:$A$2000,"sic",[1]Manifestações!$B$2:$B$2000,"&gt;=01/12/2024",[1]Manifestações!$B$2:$B$2000,"&lt;01/01/2025")</f>
        <v>0</v>
      </c>
      <c r="G16" s="9">
        <f>COUNTIFS([1]Manifestações!$A$2:$A$2000,"sic",[1]Manifestações!$B$2:$B$2000,"&gt;=01/12/2024",[1]Manifestações!$B$2:$B$2000,"&lt;01/01/2025",[1]Manifestações!$L$2:$L$2000,"Finalizada")</f>
        <v>0</v>
      </c>
      <c r="H16" s="8">
        <f t="shared" si="33"/>
        <v>0</v>
      </c>
      <c r="I16" s="9">
        <f t="shared" si="33"/>
        <v>0</v>
      </c>
      <c r="J16" s="10" t="str">
        <f>IF(B16&gt;0,C16/B16*100," ")</f>
        <v xml:space="preserve"> </v>
      </c>
      <c r="K16" s="11" t="str">
        <f>IF(D16&gt;0,E16/D16*100," ")</f>
        <v xml:space="preserve"> </v>
      </c>
      <c r="L16" s="10" t="str">
        <f>IF(F16&gt;0,G16/F16*100," ")</f>
        <v xml:space="preserve"> </v>
      </c>
      <c r="M16" s="11" t="str">
        <f>IF(I16&gt;0,SUM(C16,E16,G16)/SUM(B16,D16,F16)*100," ")</f>
        <v xml:space="preserve"> </v>
      </c>
      <c r="N16" s="21"/>
      <c r="O16" s="9">
        <f>COUNTIFS([1]Manifestações!$F$2:$F$2000,"denúncia",[1]Manifestações!$B$2:$B$2000,"&gt;=01/12/2024",[1]Manifestações!$B$2:$B$2000,"&lt;01/01/2025")</f>
        <v>0</v>
      </c>
      <c r="P16" s="8">
        <f>COUNTIFS([1]Manifestações!$F$2:$F$2000,"reclamação",[1]Manifestações!$B$2:$B$2000,"&gt;=01/12/2024",[1]Manifestações!$B$2:$B$2000,"&lt;01/01/2025")</f>
        <v>0</v>
      </c>
      <c r="Q16" s="9">
        <f>COUNTIFS([1]Manifestações!$F$2:$F$2000,"solicitação",[1]Manifestações!$B$2:$B$2000,"&gt;=01/12/2024",[1]Manifestações!$B$2:$B$2000,"&lt;01/01/2025")</f>
        <v>0</v>
      </c>
      <c r="R16" s="8">
        <f>COUNTIFS([1]Manifestações!$F$2:$F$2000,"sugestão",[1]Manifestações!$B$2:$B$2000,"&gt;=01/12/2024",[1]Manifestações!$B$2:$B$2000,"&lt;01/01/2025")</f>
        <v>0</v>
      </c>
      <c r="S16" s="9">
        <f>COUNTIFS([1]Manifestações!$F$2:$F$2000,"elogio",[1]Manifestações!$B$2:$B$2000,"&gt;=01/12/2024",[1]Manifestações!$B$2:$B$2000,"&lt;01/01/2025")</f>
        <v>0</v>
      </c>
      <c r="T16" s="8">
        <f>COUNTIFS([1]Manifestações!$F$2:$F$2000,"simplifique",[1]Manifestações!$B$2:$B$2000,"&gt;=01/12/2024",[1]Manifestações!$B$2:$B$2000,"&lt;01/01/2025")</f>
        <v>0</v>
      </c>
      <c r="U16" s="9">
        <f>COUNTIFS([1]Manifestações!$F$2:$F$2000,"comunicação",[1]Manifestações!$B$2:$B$2000,"&gt;=01/12/2024",[1]Manifestações!$B$2:$B$2000,"&lt;01/01/2025")</f>
        <v>0</v>
      </c>
      <c r="V16" s="8">
        <f>COUNTIFS([1]Manifestações!$G$2:$G$2000,"Acesso à informação",[1]Manifestações!$B$2:$B$2000,"&gt;=01/12/2024",[1]Manifestações!$B$2:$B$2000,"&lt;01/01/2025")</f>
        <v>0</v>
      </c>
      <c r="W16" s="9">
        <f>COUNTIFS([1]Manifestações!$G$2:$G$2000,"Acesso à informação",[1]Manifestações!$B$2:$B$2000,"&gt;=01/12/2024",[1]Manifestações!$B$2:$B$2000,"&lt;01/01/2025",[1]Manifestações!$L$2:$L$2000,"Finalizada")</f>
        <v>0</v>
      </c>
      <c r="X16" s="9">
        <f>COUNTIFS([1]Manifestações!$F$2:$F$2000,"Atendimento Presencial",[1]Manifestações!$B$2:$B$2000,"&gt;=01/12/2024",[1]Manifestações!$B$2:$B$2000,"&lt;01/01/2025")</f>
        <v>0</v>
      </c>
      <c r="Y16" s="22"/>
      <c r="Z16" s="14">
        <f>COUNTIFS('[1]Atendimentos Telefônicos'!$A$2:$A$2000,"&gt;=01/12/2024",'[1]Atendimentos Telefônicos'!$A$2:$A$2000,"&lt;01/01/2025")</f>
        <v>0</v>
      </c>
      <c r="AA16" s="15">
        <f>SUMIFS('[1]Atendimentos Telefônicos'!$I$2:$I$2000,'[1]Atendimentos Telefônicos'!$A$2:$A$2000,"&gt;=01/12/2024",'[1]Atendimentos Telefônicos'!$A$2:$A$2000,"&lt;01/01/2025")</f>
        <v>0</v>
      </c>
      <c r="AB16" s="22"/>
      <c r="AC16" s="11" t="str">
        <f>IFERROR(AVERAGEIFS([1]Manifestações!$M$2:$M$2000,[1]Manifestações!$A$2:$A$2000,"mail",[1]Manifestações!$M$2:$M$2000,"&gt;=0",[1]Manifestações!$B$2:$B$2000,"&gt;=01/12/2024",[1]Manifestações!$B$2:$B$2000,"&lt;01/01/2025",[1]Manifestações!$F$2:$F$2000, "&lt;&gt;Comunicação")," ")</f>
        <v xml:space="preserve"> </v>
      </c>
      <c r="AD16" s="16" t="str">
        <f>IFERROR(AVERAGEIFS([1]Manifestações!$M$2:$M$2000,[1]Manifestações!$A$2:$A$2000,"ouv",[1]Manifestações!$M$2:$M$2000,"&gt;=0",[1]Manifestações!$B$2:$B$2000,"&gt;=01/12/2024",[1]Manifestações!$B$2:$B$2000,"&lt;01/01/2025",[1]Manifestações!$F$2:$F$2000, "&lt;&gt;Comunicação")," ")</f>
        <v xml:space="preserve"> </v>
      </c>
      <c r="AE16" s="11" t="str">
        <f>IFERROR(AVERAGEIFS([1]Manifestações!$M$2:$M$2000,[1]Manifestações!$A$2:$A$2000,"sic",[1]Manifestações!$M$2:$M$2000,"&gt;=0",[1]Manifestações!$B$2:$B$2000,"&gt;=01/12/2024",[1]Manifestações!$B$2:$B$2000,"&lt;01/01/2025",[1]Manifestações!$F$2:$F$2000, "&lt;&gt;Comunicação")," ")</f>
        <v xml:space="preserve"> </v>
      </c>
      <c r="AF16" s="16" t="str">
        <f>IFERROR(AVERAGEIFS([1]Manifestações!$M$2:$M$2000,[1]Manifestações!$M$2:$M$2000,"&gt;=0",[1]Manifestações!$B$2:$B$2000,"&gt;=01/12/2024",[1]Manifestações!$B$2:$B$2000,"&lt;01/01/2025",[1]Manifestações!$F$2:$F$2000, "&lt;&gt;Comunicação")," ")</f>
        <v xml:space="preserve"> </v>
      </c>
      <c r="AG16" s="15" t="str">
        <f t="shared" si="11"/>
        <v xml:space="preserve"> </v>
      </c>
      <c r="AH16" s="16" t="str">
        <f>IFERROR(AVERAGEIFS([1]Manifestações!$M$2:$M$2000,[1]Manifestações!$G$2:$G$2000,"Acesso à informação",[1]Manifestações!$M$2:$M$2000,"&gt;=0",[1]Manifestações!$B$2:$B$2000,"&gt;=01/12/2024",[1]Manifestações!$B$2:$B$2000,"&lt;01/01/2025",[1]Manifestações!$F$2:$F$2000, "&lt;&gt;Comunicação")," ")</f>
        <v xml:space="preserve"> </v>
      </c>
      <c r="AI16" s="22"/>
      <c r="AJ16" s="9">
        <f>COUNTIFS([1]Manifestações!$A$2:$A$2000,"mail",[1]Manifestações!$H$2:$H$2000,"física",[1]Manifestações!$B$2:$B$2000,"&gt;=01/12/2024",[1]Manifestações!$B$2:$B$2000,"&lt;01/01/2025")</f>
        <v>0</v>
      </c>
      <c r="AK16" s="8">
        <f>COUNTIFS([1]Manifestações!$A$2:$A$2000,"mail",[1]Manifestações!$H$2:$H$2000,"jurídica",[1]Manifestações!$B$2:$B$2000,"&gt;=01/12/2024",[1]Manifestações!$B$2:$B$2000,"&lt;01/01/2025")</f>
        <v>0</v>
      </c>
      <c r="AL16" s="9">
        <f>COUNTIFS([1]Manifestações!$A$2:$A$2000,"ouv",[1]Manifestações!$H$2:$H$2000,"física",[1]Manifestações!$B$2:$B$2000,"&gt;=01/12/2024",[1]Manifestações!$B$2:$B$2000,"&lt;01/01/2025")</f>
        <v>0</v>
      </c>
      <c r="AM16" s="8">
        <f>COUNTIFS([1]Manifestações!$A$2:$A$2000,"ouv",[1]Manifestações!$H$2:$H$2000,"jurídica",[1]Manifestações!$B$2:$B$2000,"&gt;=01/12/2024",[1]Manifestações!$B$2:$B$2000,"&lt;01/01/2025")</f>
        <v>0</v>
      </c>
      <c r="AN16" s="9">
        <f>COUNTIFS([1]Manifestações!$A$2:$A$2000,"sic",[1]Manifestações!$H$2:$H$2000,"física",[1]Manifestações!$B$2:$B$2000,"&gt;=01/12/2024",[1]Manifestações!$B$2:$B$2000,"&lt;01/01/2025")</f>
        <v>0</v>
      </c>
      <c r="AO16" s="8">
        <f>COUNTIFS([1]Manifestações!$A$2:$A$2000,"sic",[1]Manifestações!$H$2:$H$2000,"jurídica",[1]Manifestações!$B$2:$B$2000,"&gt;=01/12/2024",[1]Manifestações!$B$2:$B$2000,"&lt;01/01/2025")</f>
        <v>0</v>
      </c>
      <c r="AP16" s="9">
        <f>COUNTIFS([1]Manifestações!$A$2:$A$2000,"presencial",[1]Manifestações!$H$2:$H$2000,"física",[1]Manifestações!$B$2:$B$2000,"&gt;=01/12/2024",[1]Manifestações!$B$2:$B$2000,"&lt;01/01/2025")</f>
        <v>0</v>
      </c>
      <c r="AQ16" s="8">
        <f>COUNTIFS([1]Manifestações!$A$2:$A$2000,"presencial",[1]Manifestações!$H$2:$H$2000,"jurídica",[1]Manifestações!$B$2:$B$2000,"&gt;=01/12/2024",[1]Manifestações!$B$2:$B$2000,"&lt;01/01/2025")</f>
        <v>0</v>
      </c>
      <c r="AR16" s="9">
        <f>COUNTIFS([1]Manifestações!$H$2:$H$2000,"física",[1]Manifestações!$B$2:$B$2000,"&gt;=01/12/2024",[1]Manifestações!$B$2:$B$2000,"&lt;01/01/2025")</f>
        <v>0</v>
      </c>
      <c r="AS16" s="10">
        <f>COUNTIFS([1]Manifestações!$H$2:$H$2000,"jurídica",[1]Manifestações!$B$2:$B$2000,"&gt;=01/12/2024",[1]Manifestações!$B$2:$B$2000,"&lt;01/01/2025")</f>
        <v>0</v>
      </c>
      <c r="AT16" s="9">
        <f>COUNTIFS('[1]Atendimentos Telefônicos'!$E$2:$E$2000,"Física",'[1]Atendimentos Telefônicos'!$A$2:$A$2000,"&gt;=01/12/2024",'[1]Atendimentos Telefônicos'!$A$2:$A$2000,"&lt;01/01/2025")</f>
        <v>0</v>
      </c>
      <c r="AU16" s="8">
        <f>COUNTIFS('[1]Atendimentos Telefônicos'!$E$2:$E$2000,"Jurídica",'[1]Atendimentos Telefônicos'!$A$2:$A$2000,"&gt;=01/12/2024",'[1]Atendimentos Telefônicos'!$A$2:$A$2000,"&lt;01/01/2025")</f>
        <v>0</v>
      </c>
      <c r="AV16" s="9">
        <f t="shared" si="1"/>
        <v>0</v>
      </c>
      <c r="AW16" s="11" t="str">
        <f t="shared" si="2"/>
        <v xml:space="preserve"> </v>
      </c>
      <c r="AX16" s="10">
        <f t="shared" si="3"/>
        <v>0</v>
      </c>
      <c r="AY16" s="10" t="str">
        <f t="shared" si="4"/>
        <v xml:space="preserve"> </v>
      </c>
      <c r="AZ16" s="22"/>
      <c r="BA16" s="9">
        <f>COUNTIFS([1]Manifestações!$A$2:$A$2000,"mail",[1]Manifestações!$I$2:$I$2000,"Feminino",[1]Manifestações!$B$2:$B$2000,"&gt;=01/12/2024",[1]Manifestações!$B$2:$B$2000,"&lt;01/01/2025")</f>
        <v>0</v>
      </c>
      <c r="BB16" s="8">
        <f>COUNTIFS([1]Manifestações!$A$2:$A$2000,"mail",[1]Manifestações!$I$2:$I$2000,"Masculino",[1]Manifestações!$B$2:$B$2000,"&gt;=01/12/2024",[1]Manifestações!$B$2:$B$2000,"&lt;01/01/2025")</f>
        <v>0</v>
      </c>
      <c r="BC16" s="9">
        <f>COUNTIFS([1]Manifestações!$A$2:$A$2000,"ouv",[1]Manifestações!$I$2:$I$2000,"Feminino",[1]Manifestações!$B$2:$B$2000,"&gt;=01/12/2024",[1]Manifestações!$B$2:$B$2000,"&lt;01/01/2025")</f>
        <v>0</v>
      </c>
      <c r="BD16" s="8">
        <f>COUNTIFS([1]Manifestações!$A$2:$A$2000,"ouv",[1]Manifestações!$I$2:$I$2000,"Masculino",[1]Manifestações!$B$2:$B$2000,"&gt;=01/12/2024",[1]Manifestações!$B$2:$B$2000,"&lt;01/01/2025")</f>
        <v>0</v>
      </c>
      <c r="BE16" s="9">
        <f>COUNTIFS([1]Manifestações!$A$2:$A$2000,"sic",[1]Manifestações!$I$2:$I$2000,"Feminino",[1]Manifestações!$B$2:$B$2000,"&gt;=01/12/2024",[1]Manifestações!$B$2:$B$2000,"&lt;01/01/2025")</f>
        <v>0</v>
      </c>
      <c r="BF16" s="8">
        <f>COUNTIFS([1]Manifestações!$A$2:$A$2000,"sic",[1]Manifestações!$I$2:$I$2000,"Masculino",[1]Manifestações!$B$2:$B$2000,"&gt;=01/12/2024",[1]Manifestações!$B$2:$B$2000,"&lt;01/01/2025")</f>
        <v>0</v>
      </c>
      <c r="BG16" s="9">
        <f>COUNTIFS([1]Manifestações!$A$2:$A$2000,"presencial",[1]Manifestações!$I$2:$I$2000,"Feminino",[1]Manifestações!$B$2:$B$2000,"&gt;=01/12/2024",[1]Manifestações!$B$2:$B$2000,"&lt;01/01/2025")</f>
        <v>0</v>
      </c>
      <c r="BH16" s="8">
        <f>COUNTIFS([1]Manifestações!$A$2:$A$2000,"presencial",[1]Manifestações!$I$2:$I$2000,"Masculino",[1]Manifestações!$B$2:$B$2000,"&gt;=01/12/2024",[1]Manifestações!$B$2:$B$2000,"&lt;01/01/2025")</f>
        <v>0</v>
      </c>
      <c r="BI16" s="9">
        <f>COUNTIFS([1]Manifestações!$I$2:$I$2000,"Feminino",[1]Manifestações!$B$2:$B$2000,"&gt;=01/12/2024",[1]Manifestações!$B$2:$B$2000,"&lt;01/01/2025")</f>
        <v>0</v>
      </c>
      <c r="BJ16" s="10">
        <f>COUNTIFS([1]Manifestações!$I$2:$I$2000,"Masculino",[1]Manifestações!$B$2:$B$2000,"&gt;=01/12/2024",[1]Manifestações!$B$2:$B$2000,"&lt;01/01/2025")</f>
        <v>0</v>
      </c>
      <c r="BK16" s="9">
        <f>COUNTIFS('[1]Atendimentos Telefônicos'!$F$2:$F$2000,"Feminino",'[1]Atendimentos Telefônicos'!$A$2:$A$2000,"&gt;=01/12/2024",'[1]Atendimentos Telefônicos'!$A$2:$A$2000,"&lt;01/01/2025")</f>
        <v>0</v>
      </c>
      <c r="BL16" s="8">
        <f>COUNTIFS('[1]Atendimentos Telefônicos'!$F$2:$F$2000,"Masculino",'[1]Atendimentos Telefônicos'!$A$2:$A$2000,"&gt;=01/12/2024",'[1]Atendimentos Telefônicos'!$A$2:$A$2000,"&lt;01/01/2025")</f>
        <v>0</v>
      </c>
      <c r="BM16" s="9">
        <f t="shared" si="5"/>
        <v>0</v>
      </c>
      <c r="BN16" s="11" t="str">
        <f t="shared" si="30"/>
        <v xml:space="preserve"> </v>
      </c>
      <c r="BO16" s="10">
        <f t="shared" si="6"/>
        <v>0</v>
      </c>
      <c r="BP16" s="10" t="str">
        <f t="shared" si="7"/>
        <v xml:space="preserve"> </v>
      </c>
      <c r="BQ16" s="23"/>
      <c r="BR16" s="9">
        <f>COUNTIFS([1]Manifestações!$A$2:$A$2000,"mail",[1]Manifestações!$F$2:$F$2000,"solicitação",[1]Manifestações!$B$2:$B$2000,"&gt;=01/12/2024",[1]Manifestações!$B$2:$B$2000,"&lt;01/01/2025")</f>
        <v>0</v>
      </c>
      <c r="BS16" s="8">
        <f>COUNTIFS([1]Manifestações!$A$2:$A$2000,"mail",[1]Manifestações!$F$2:$F$2000,"reclamação",[1]Manifestações!$B$2:$B$2000,"&gt;=01/12/2024",[1]Manifestações!$B$2:$B$2000,"&lt;01/01/2025")</f>
        <v>0</v>
      </c>
      <c r="BT16" s="9">
        <f>COUNTIFS([1]Manifestações!$A$2:$A$2000,"mail",[1]Manifestações!$F$2:$F$2000,"denúncia",[1]Manifestações!$B$2:$B$2000,"&gt;=01/12/2024",[1]Manifestações!$B$2:$B$2000,"&lt;01/01/2025")</f>
        <v>0</v>
      </c>
      <c r="BU16" s="8">
        <f>COUNTIFS([1]Manifestações!$A$2:$A$2000,"mail",[1]Manifestações!$F$2:$F$2000,"sugestão",[1]Manifestações!$B$2:$B$2000,"&gt;=01/12/2024",[1]Manifestações!$B$2:$B$2000,"&lt;01/01/2025")</f>
        <v>0</v>
      </c>
      <c r="BV16" s="9">
        <f>COUNTIFS([1]Manifestações!$A$2:$A$2000,"mail",[1]Manifestações!$F$2:$F$2000,"elogio",[1]Manifestações!$B$2:$B$2000,"&gt;=01/12/2024",[1]Manifestações!$B$2:$B$2000,"&lt;01/01/2025")</f>
        <v>0</v>
      </c>
      <c r="BW16" s="8">
        <f>COUNTIFS([1]Manifestações!$A$2:$A$2000,"mail",[1]Manifestações!$F$2:$F$2000,"simplifique",[1]Manifestações!$B$2:$B$2000,"&gt;=01/12/2024",[1]Manifestações!$B$2:$B$2000,"&lt;01/01/2025")</f>
        <v>0</v>
      </c>
      <c r="BX16" s="9">
        <f>COUNTIFS([1]Manifestações!$A$2:$A$2000,"mail",[1]Manifestações!$D$2:$D$2000,"&lt;&gt;*Fale*",[1]Manifestações!$D$2:$D$2000,"&lt;&gt;*Redes*",[1]Manifestações!$B$2:$B$2000,"&gt;=01/12/2024",[1]Manifestações!$B$2:$B$2000,"&lt;01/01/2025")</f>
        <v>0</v>
      </c>
      <c r="BY16" s="9">
        <f>COUNTIFS([1]Manifestações!$A$2:$A$2000,"mail",[1]Manifestações!$D$2:$D$2000,"*Redes*",[1]Manifestações!$B$2:$B$2000,"&gt;=01/12/2024",[1]Manifestações!$B$2:$B$2000,"&lt;01/01/2025")</f>
        <v>0</v>
      </c>
      <c r="BZ16" s="9">
        <f>COUNTIFS([1]Manifestações!$A$2:$A$2000,"mail",[1]Manifestações!$D$2:$D$2000,"*Fale*",[1]Manifestações!$B$2:$B$2000,"&gt;=01/12/2024",[1]Manifestações!$B$2:$B$2000,"&lt;01/01/2025")</f>
        <v>0</v>
      </c>
      <c r="CA16" s="8">
        <f>COUNTIFS([1]Manifestações!$A$2:$A$2000,"mail",[1]Manifestações!$F$2:$F$2000,"comunicação",[1]Manifestações!$B$2:$B$2000,"&gt;=01/12/2024",[1]Manifestações!$B$2:$B$2000,"&lt;01/01/2025")</f>
        <v>0</v>
      </c>
      <c r="CB16" s="24"/>
      <c r="CC16" s="25"/>
      <c r="CD16" s="9">
        <f>COUNTIFS([1]Manifestações!$A$2:$A$2000,"ouv",[1]Manifestações!$F$2:$F$2000,"denúncia",[1]Manifestações!$B$2:$B$2000,"&gt;=01/12/2024",[1]Manifestações!$B$2:$B$2000,"&lt;01/01/2025")</f>
        <v>0</v>
      </c>
      <c r="CE16" s="8">
        <f>COUNTIFS([1]Manifestações!$A$2:$A$2000,"ouv",[1]Manifestações!$F$2:$F$2000,"reclamação",[1]Manifestações!$B$2:$B$2000,"&gt;=01/12/2024",[1]Manifestações!$B$2:$B$2000,"&lt;01/01/2025")</f>
        <v>0</v>
      </c>
      <c r="CF16" s="9">
        <f>COUNTIFS([1]Manifestações!$A$2:$A$2000,"ouv",[1]Manifestações!$F$2:$F$2000,"solicitação",[1]Manifestações!$B$2:$B$2000,"&gt;=01/12/2024",[1]Manifestações!$B$2:$B$2000,"&lt;01/01/2025")</f>
        <v>0</v>
      </c>
      <c r="CG16" s="8">
        <f>COUNTIFS([1]Manifestações!$A$2:$A$2000,"ouv",[1]Manifestações!$F$2:$F$2000,"sugestão",[1]Manifestações!$B$2:$B$2000,"&gt;=01/12/2024",[1]Manifestações!$B$2:$B$2000,"&lt;01/01/2025")</f>
        <v>0</v>
      </c>
      <c r="CH16" s="9">
        <f>COUNTIFS([1]Manifestações!$A$2:$A$2000,"ouv",[1]Manifestações!$F$2:$F$2000,"elogio",[1]Manifestações!$B$2:$B$2000,"&gt;=01/12/2024",[1]Manifestações!$B$2:$B$2000,"&lt;01/01/2025")</f>
        <v>0</v>
      </c>
      <c r="CI16" s="8">
        <f>COUNTIFS([1]Manifestações!$A$2:$A$2000,"ouv",[1]Manifestações!$F$2:$F$2000,"comunicação",[1]Manifestações!$B$2:$B$2000,"&gt;=01/12/2024",[1]Manifestações!$B$2:$B$2000,"&lt;01/01/2025")</f>
        <v>0</v>
      </c>
      <c r="CJ16" s="14">
        <f>COUNTIFS([1]Manifestações!$A$2:$A$2000,"ouv",[1]Manifestações!$F$2:$F$2000,"simplifique",[1]Manifestações!$B$2:$B$2000,"&gt;=01/12/2024",[1]Manifestações!$B$2:$B$2000,"&lt;01/01/2025")</f>
        <v>0</v>
      </c>
      <c r="CK16" s="26"/>
    </row>
    <row r="17" spans="1:89" ht="14.4" customHeight="1" x14ac:dyDescent="0.3">
      <c r="A17" s="27" t="s">
        <v>82</v>
      </c>
      <c r="B17" s="1">
        <f t="shared" ref="B17:I17" si="34">SUM(B14:B16)</f>
        <v>0</v>
      </c>
      <c r="C17" s="1">
        <f t="shared" si="34"/>
        <v>0</v>
      </c>
      <c r="D17" s="1">
        <f t="shared" si="34"/>
        <v>0</v>
      </c>
      <c r="E17" s="1">
        <f t="shared" si="34"/>
        <v>0</v>
      </c>
      <c r="F17" s="1">
        <f t="shared" si="34"/>
        <v>0</v>
      </c>
      <c r="G17" s="1">
        <f t="shared" si="34"/>
        <v>0</v>
      </c>
      <c r="H17" s="1">
        <f t="shared" si="34"/>
        <v>0</v>
      </c>
      <c r="I17" s="1">
        <f t="shared" si="34"/>
        <v>0</v>
      </c>
      <c r="J17" s="28" t="str">
        <f>IF(SUM(B14:B16)&gt;0,SUM(C14:C16)/SUM(B14:B16)*100," ")</f>
        <v xml:space="preserve"> </v>
      </c>
      <c r="K17" s="28" t="str">
        <f>IF(SUM(D14:D16)&gt;0,SUM(E14:E16)/SUM(D14:D16)*100," ")</f>
        <v xml:space="preserve"> </v>
      </c>
      <c r="L17" s="28" t="str">
        <f>IF(SUM(F14:F16)&gt;0,SUM(G14:G16)/SUM(F14:F16)*100," ")</f>
        <v xml:space="preserve"> </v>
      </c>
      <c r="M17" s="28" t="str">
        <f>IF(SUM(H14:H16)&gt;0,SUM(I14:I16)/SUM(H14:H16)*100," ")</f>
        <v xml:space="preserve"> </v>
      </c>
      <c r="N17" s="21"/>
      <c r="O17" s="1">
        <f>SUM(O14:O16)</f>
        <v>0</v>
      </c>
      <c r="P17" s="1">
        <f t="shared" ref="P17" si="35">SUM(P14:P16)</f>
        <v>0</v>
      </c>
      <c r="Q17" s="1">
        <f>SUM(Q14:Q16)</f>
        <v>0</v>
      </c>
      <c r="R17" s="1">
        <f t="shared" ref="R17:U17" si="36">SUM(R14:R16)</f>
        <v>0</v>
      </c>
      <c r="S17" s="1">
        <f t="shared" si="36"/>
        <v>0</v>
      </c>
      <c r="T17" s="1">
        <f t="shared" si="36"/>
        <v>0</v>
      </c>
      <c r="U17" s="1">
        <f t="shared" si="36"/>
        <v>0</v>
      </c>
      <c r="V17" s="1">
        <f>SUM(V14:V16)</f>
        <v>0</v>
      </c>
      <c r="W17" s="1">
        <f>SUM(W14:W16)</f>
        <v>0</v>
      </c>
      <c r="X17" s="1">
        <f>SUM(X14:X16)</f>
        <v>0</v>
      </c>
      <c r="Y17" s="22"/>
      <c r="Z17" s="1">
        <f>COUNTIFS('[1]Atendimentos Telefônicos'!$A$2:$A$2000,"&gt;=01/10/2024",'[1]Atendimentos Telefônicos'!$A$2:$A$2000,"&lt;01/01/2025")</f>
        <v>0</v>
      </c>
      <c r="AA17" s="29">
        <f>SUMIFS('[1]Atendimentos Telefônicos'!$I$2:$I$2000,'[1]Atendimentos Telefônicos'!$A$2:$A$2000,"&gt;=01/10/2024",'[1]Atendimentos Telefônicos'!$A$2:$A$2000,"&lt;01/01/2025")</f>
        <v>0</v>
      </c>
      <c r="AB17" s="22"/>
      <c r="AC17" s="28" t="str">
        <f>IFERROR(AVERAGEIFS([1]Manifestações!$M$2:$M$2000,[1]Manifestações!$A$2:$A$2000,"mail",[1]Manifestações!$M$2:$M$2000,"&gt;=0",[1]Manifestações!$B$2:$B$2000,"&gt;=01/10/2024",[1]Manifestações!$B$2:$B$2000,"&lt;01/01/2025",[1]Manifestações!$F$2:$F$2000, "&lt;&gt;Comunicação")," ")</f>
        <v xml:space="preserve"> </v>
      </c>
      <c r="AD17" s="28" t="str">
        <f>IFERROR(AVERAGEIFS([1]Manifestações!$M$2:$M$2000,[1]Manifestações!$A$2:$A$2000,"ouv",[1]Manifestações!$M$2:$M$2000,"&gt;=0",[1]Manifestações!$B$2:$B$2000,"&gt;=01/10/2024",[1]Manifestações!$B$2:$B$2000,"&lt;01/01/2025",[1]Manifestações!$F$2:$F$2000, "&lt;&gt;Comunicação")," ")</f>
        <v xml:space="preserve"> </v>
      </c>
      <c r="AE17" s="28" t="str">
        <f>IFERROR(AVERAGEIFS([1]Manifestações!$M$2:$M$2000,[1]Manifestações!$A$2:$A$2000,"sic",[1]Manifestações!$M$2:$M$2000,"&gt;=0",[1]Manifestações!$B$2:$B$2000,"&gt;=01/10/2024",[1]Manifestações!$B$2:$B$2000,"&lt;01/01/2025",[1]Manifestações!$F$2:$F$2000, "&lt;&gt;Comunicação")," ")</f>
        <v xml:space="preserve"> </v>
      </c>
      <c r="AF17" s="28" t="str">
        <f>IFERROR(AVERAGEIFS([1]Manifestações!$M$2:$M$2000,[1]Manifestações!$M$2:$M$2000,"&gt;=0",[1]Manifestações!$B$2:$B$2000,"&gt;=01/10/2024",[1]Manifestações!$B$2:$B$2000,"&lt;01/01/2025",[1]Manifestações!$F$2:$F$2000, "&lt;&gt;Comunicação")," ")</f>
        <v xml:space="preserve"> </v>
      </c>
      <c r="AG17" s="29" t="str">
        <f t="shared" si="11"/>
        <v xml:space="preserve"> </v>
      </c>
      <c r="AH17" s="28" t="str">
        <f>IFERROR(AVERAGEIFS([1]Manifestações!$M$2:$M$2000,[1]Manifestações!$G$2:$G$2000,"Acesso à informação",[1]Manifestações!$M$2:$M$2000,"&gt;=0",[1]Manifestações!$B$2:$B$2000,"&gt;=01/10/2024",[1]Manifestações!$B$2:$B$2000,"&lt;01/01/2025",[1]Manifestações!$F$2:$F$2000, "&lt;&gt;Comunicação")," ")</f>
        <v xml:space="preserve"> </v>
      </c>
      <c r="AI17" s="22"/>
      <c r="AJ17" s="1">
        <f t="shared" ref="AJ17:AU17" si="37">SUM(AJ14:AJ16)</f>
        <v>0</v>
      </c>
      <c r="AK17" s="1">
        <f t="shared" si="37"/>
        <v>0</v>
      </c>
      <c r="AL17" s="1">
        <f t="shared" si="37"/>
        <v>0</v>
      </c>
      <c r="AM17" s="1">
        <f t="shared" si="37"/>
        <v>0</v>
      </c>
      <c r="AN17" s="1">
        <f t="shared" si="37"/>
        <v>0</v>
      </c>
      <c r="AO17" s="1">
        <f t="shared" si="37"/>
        <v>0</v>
      </c>
      <c r="AP17" s="1">
        <f t="shared" si="37"/>
        <v>0</v>
      </c>
      <c r="AQ17" s="1">
        <f t="shared" si="37"/>
        <v>0</v>
      </c>
      <c r="AR17" s="1">
        <f t="shared" si="37"/>
        <v>0</v>
      </c>
      <c r="AS17" s="28">
        <f t="shared" si="37"/>
        <v>0</v>
      </c>
      <c r="AT17" s="1">
        <f t="shared" si="37"/>
        <v>0</v>
      </c>
      <c r="AU17" s="1">
        <f t="shared" si="37"/>
        <v>0</v>
      </c>
      <c r="AV17" s="1">
        <f t="shared" si="1"/>
        <v>0</v>
      </c>
      <c r="AW17" s="28" t="str">
        <f t="shared" si="2"/>
        <v xml:space="preserve"> </v>
      </c>
      <c r="AX17" s="28">
        <f t="shared" si="3"/>
        <v>0</v>
      </c>
      <c r="AY17" s="28" t="str">
        <f t="shared" si="4"/>
        <v xml:space="preserve"> </v>
      </c>
      <c r="AZ17" s="22"/>
      <c r="BA17" s="1">
        <f t="shared" ref="BA17:BL17" si="38">SUM(BA14:BA16)</f>
        <v>0</v>
      </c>
      <c r="BB17" s="1">
        <f t="shared" si="38"/>
        <v>0</v>
      </c>
      <c r="BC17" s="1">
        <f t="shared" si="38"/>
        <v>0</v>
      </c>
      <c r="BD17" s="1">
        <f t="shared" si="38"/>
        <v>0</v>
      </c>
      <c r="BE17" s="1">
        <f t="shared" si="38"/>
        <v>0</v>
      </c>
      <c r="BF17" s="1">
        <f t="shared" si="38"/>
        <v>0</v>
      </c>
      <c r="BG17" s="1">
        <f t="shared" si="38"/>
        <v>0</v>
      </c>
      <c r="BH17" s="1">
        <f t="shared" si="38"/>
        <v>0</v>
      </c>
      <c r="BI17" s="1">
        <f t="shared" si="38"/>
        <v>0</v>
      </c>
      <c r="BJ17" s="28">
        <f t="shared" si="38"/>
        <v>0</v>
      </c>
      <c r="BK17" s="1">
        <f t="shared" si="38"/>
        <v>0</v>
      </c>
      <c r="BL17" s="1">
        <f t="shared" si="38"/>
        <v>0</v>
      </c>
      <c r="BM17" s="1">
        <f t="shared" si="5"/>
        <v>0</v>
      </c>
      <c r="BN17" s="28" t="str">
        <f t="shared" si="30"/>
        <v xml:space="preserve"> </v>
      </c>
      <c r="BO17" s="28">
        <f t="shared" si="6"/>
        <v>0</v>
      </c>
      <c r="BP17" s="28" t="str">
        <f t="shared" si="7"/>
        <v xml:space="preserve"> </v>
      </c>
      <c r="BQ17" s="23"/>
      <c r="BR17" s="1">
        <f t="shared" ref="BR17:CA17" si="39">SUM(BR14:BR16)</f>
        <v>0</v>
      </c>
      <c r="BS17" s="1">
        <f t="shared" si="39"/>
        <v>0</v>
      </c>
      <c r="BT17" s="1">
        <f t="shared" si="39"/>
        <v>0</v>
      </c>
      <c r="BU17" s="1">
        <f t="shared" si="39"/>
        <v>0</v>
      </c>
      <c r="BV17" s="1">
        <f t="shared" si="39"/>
        <v>0</v>
      </c>
      <c r="BW17" s="1">
        <f t="shared" si="39"/>
        <v>0</v>
      </c>
      <c r="BX17" s="1">
        <f t="shared" si="39"/>
        <v>0</v>
      </c>
      <c r="BY17" s="1">
        <f t="shared" si="39"/>
        <v>0</v>
      </c>
      <c r="BZ17" s="1">
        <f t="shared" si="39"/>
        <v>0</v>
      </c>
      <c r="CA17" s="1">
        <f t="shared" si="39"/>
        <v>0</v>
      </c>
      <c r="CB17" s="24"/>
      <c r="CC17" s="25"/>
      <c r="CD17" s="1">
        <f t="shared" ref="CD17:CJ17" si="40">SUM(CD14:CD16)</f>
        <v>0</v>
      </c>
      <c r="CE17" s="1">
        <f t="shared" si="40"/>
        <v>0</v>
      </c>
      <c r="CF17" s="1">
        <f t="shared" si="40"/>
        <v>0</v>
      </c>
      <c r="CG17" s="1">
        <f t="shared" si="40"/>
        <v>0</v>
      </c>
      <c r="CH17" s="1">
        <f t="shared" si="40"/>
        <v>0</v>
      </c>
      <c r="CI17" s="1">
        <f t="shared" si="40"/>
        <v>0</v>
      </c>
      <c r="CJ17" s="1">
        <f t="shared" si="40"/>
        <v>0</v>
      </c>
      <c r="CK17" s="26"/>
    </row>
    <row r="18" spans="1:89" ht="14.4" customHeight="1" x14ac:dyDescent="0.3">
      <c r="A18" s="30" t="s">
        <v>83</v>
      </c>
      <c r="B18" s="31">
        <f t="shared" ref="B18:I18" si="41">SUM(B5,B9,B13,B17)</f>
        <v>0</v>
      </c>
      <c r="C18" s="31">
        <f t="shared" si="41"/>
        <v>0</v>
      </c>
      <c r="D18" s="31">
        <f t="shared" si="41"/>
        <v>0</v>
      </c>
      <c r="E18" s="31">
        <f t="shared" si="41"/>
        <v>0</v>
      </c>
      <c r="F18" s="31">
        <f t="shared" si="41"/>
        <v>0</v>
      </c>
      <c r="G18" s="31">
        <f t="shared" si="41"/>
        <v>0</v>
      </c>
      <c r="H18" s="31">
        <f t="shared" si="41"/>
        <v>0</v>
      </c>
      <c r="I18" s="31">
        <f t="shared" si="41"/>
        <v>0</v>
      </c>
      <c r="J18" s="32" t="str">
        <f>IF(SUM(B5,B9,B13,B17,)&gt;0,SUM(C5,C9,C13,C17)/SUM(B5,B9,B13,B17)*100," ")</f>
        <v xml:space="preserve"> </v>
      </c>
      <c r="K18" s="32" t="str">
        <f>IF(SUM(D5,D9,D13,D17,)&gt;0,SUM(E5,E9,E13,E17)/SUM(D5,D9,D13,D17)*100," ")</f>
        <v xml:space="preserve"> </v>
      </c>
      <c r="L18" s="32" t="str">
        <f>IF(SUM(F5,F9,F13,F17,)&gt;0,SUM(G5,G9,G13,G17)/SUM(F5,F9,F13,F17)*100," ")</f>
        <v xml:space="preserve"> </v>
      </c>
      <c r="M18" s="32" t="str">
        <f>IF(SUM(H5,H9,H13,H17,)&gt;0,SUM(I5,I9,I13,I17)/SUM(H5,H9,H13,H17)*100," ")</f>
        <v xml:space="preserve"> </v>
      </c>
      <c r="N18" s="33"/>
      <c r="O18" s="31">
        <f t="shared" ref="O18:U18" si="42">SUM(O5,O9,O13,O17)</f>
        <v>0</v>
      </c>
      <c r="P18" s="31">
        <f t="shared" si="42"/>
        <v>0</v>
      </c>
      <c r="Q18" s="31">
        <f t="shared" si="42"/>
        <v>0</v>
      </c>
      <c r="R18" s="31">
        <f t="shared" si="42"/>
        <v>0</v>
      </c>
      <c r="S18" s="31">
        <f t="shared" si="42"/>
        <v>0</v>
      </c>
      <c r="T18" s="31">
        <f t="shared" si="42"/>
        <v>0</v>
      </c>
      <c r="U18" s="31">
        <f t="shared" si="42"/>
        <v>0</v>
      </c>
      <c r="V18" s="31">
        <f>SUM(V5,V9,V13,V17)</f>
        <v>0</v>
      </c>
      <c r="W18" s="31">
        <f>SUM(W5,W9,W13,W17)</f>
        <v>0</v>
      </c>
      <c r="X18" s="31">
        <f>SUM(X5,X9,X13,X17)</f>
        <v>0</v>
      </c>
      <c r="Y18" s="34"/>
      <c r="Z18" s="31">
        <f>COUNTIFS('[1]Atendimentos Telefônicos'!$A$2:$A$2000,"&gt;=01/01/2024",'[1]Atendimentos Telefônicos'!$A$2:$A$2000,"&lt;01/01/2025")</f>
        <v>0</v>
      </c>
      <c r="AA18" s="35">
        <f>SUMIFS('[1]Atendimentos Telefônicos'!$I$2:$I$2000,'[1]Atendimentos Telefônicos'!$A$2:$A$2000,"&gt;=01/01/2024",'[1]Atendimentos Telefônicos'!$A$2:$A$2000,"&lt;01/01/2025")</f>
        <v>0</v>
      </c>
      <c r="AB18" s="34"/>
      <c r="AC18" s="32" t="str">
        <f>IFERROR(AVERAGEIFS([1]Manifestações!$M$2:$M$2000,[1]Manifestações!$A$2:$A$2000,"mail",[1]Manifestações!$M$2:$M$2000,"&gt;=0",[1]Manifestações!$B$2:$B$2000,"&gt;=01/01/2024",[1]Manifestações!$B$2:$B$2000,"&lt;01/01/2025",[1]Manifestações!$F$2:$F$2000, "&lt;&gt;Comunicação")," ")</f>
        <v xml:space="preserve"> </v>
      </c>
      <c r="AD18" s="32" t="str">
        <f>IFERROR(AVERAGEIFS([1]Manifestações!$M$2:$M$2000,[1]Manifestações!$A$2:$A$2000,"ouv",[1]Manifestações!$M$2:$M$2000,"&gt;=0",[1]Manifestações!$B$2:$B$2000,"&gt;=01/01/2024",[1]Manifestações!$B$2:$B$2000,"&lt;01/01/2025",[1]Manifestações!$F$2:$F$2000, "&lt;&gt;Comunicação")," ")</f>
        <v xml:space="preserve"> </v>
      </c>
      <c r="AE18" s="32" t="str">
        <f>IFERROR(AVERAGEIFS([1]Manifestações!$M$2:$M$2000,[1]Manifestações!$A$2:$A$2000,"sic",[1]Manifestações!$M$2:$M$2000,"&gt;=0",[1]Manifestações!$B$2:$B$2000,"&gt;=01/01/2024",[1]Manifestações!$B$2:$B$2000,"&lt;01/01/2025",[1]Manifestações!$F$2:$F$2000, "&lt;&gt;Comunicação")," ")</f>
        <v xml:space="preserve"> </v>
      </c>
      <c r="AF18" s="32" t="str">
        <f>IFERROR(AVERAGEIFS([1]Manifestações!$M$2:$M$2000,[1]Manifestações!$M$2:$M$2000,"&gt;=0",[1]Manifestações!$B$2:$B$2000,"&gt;=01/01/2024",[1]Manifestações!$B$2:$B$2000,"&lt;01/01/2025",[1]Manifestações!$F$2:$F$2000, "&lt;&gt;Comunicação")," ")</f>
        <v xml:space="preserve"> </v>
      </c>
      <c r="AG18" s="35" t="str">
        <f t="shared" si="11"/>
        <v xml:space="preserve"> </v>
      </c>
      <c r="AH18" s="32" t="str">
        <f>IFERROR(AVERAGEIFS([1]Manifestações!$M$2:$M$2000,[1]Manifestações!$G$2:$G$2000,"Acesso à informação",[1]Manifestações!$M$2:$M$2000,"&gt;=0",[1]Manifestações!$B$2:$B$2000,"&gt;=01/01/2024",[1]Manifestações!$B$2:$B$2000,"&lt;01/01/2025",[1]Manifestações!$F$2:$F$2000, "&lt;&gt;Comunicação")," ")</f>
        <v xml:space="preserve"> </v>
      </c>
      <c r="AI18" s="34"/>
      <c r="AJ18" s="31">
        <f t="shared" ref="AJ18:AU18" si="43">SUM(AJ5,AJ9,AJ13,AJ17)</f>
        <v>0</v>
      </c>
      <c r="AK18" s="31">
        <f t="shared" si="43"/>
        <v>0</v>
      </c>
      <c r="AL18" s="31">
        <f t="shared" si="43"/>
        <v>0</v>
      </c>
      <c r="AM18" s="31">
        <f t="shared" si="43"/>
        <v>0</v>
      </c>
      <c r="AN18" s="31">
        <f t="shared" si="43"/>
        <v>0</v>
      </c>
      <c r="AO18" s="31">
        <f t="shared" si="43"/>
        <v>0</v>
      </c>
      <c r="AP18" s="31">
        <f t="shared" si="43"/>
        <v>0</v>
      </c>
      <c r="AQ18" s="31">
        <f t="shared" si="43"/>
        <v>0</v>
      </c>
      <c r="AR18" s="31">
        <f t="shared" si="43"/>
        <v>0</v>
      </c>
      <c r="AS18" s="32">
        <f t="shared" si="43"/>
        <v>0</v>
      </c>
      <c r="AT18" s="31">
        <f t="shared" si="43"/>
        <v>0</v>
      </c>
      <c r="AU18" s="31">
        <f t="shared" si="43"/>
        <v>0</v>
      </c>
      <c r="AV18" s="31">
        <f t="shared" si="1"/>
        <v>0</v>
      </c>
      <c r="AW18" s="32" t="str">
        <f t="shared" si="2"/>
        <v xml:space="preserve"> </v>
      </c>
      <c r="AX18" s="32">
        <f t="shared" si="3"/>
        <v>0</v>
      </c>
      <c r="AY18" s="32" t="str">
        <f t="shared" si="4"/>
        <v xml:space="preserve"> </v>
      </c>
      <c r="AZ18" s="34"/>
      <c r="BA18" s="31">
        <f t="shared" ref="BA18:BL18" si="44">SUM(BA5,BA9,BA13,BA17)</f>
        <v>0</v>
      </c>
      <c r="BB18" s="31">
        <f t="shared" si="44"/>
        <v>0</v>
      </c>
      <c r="BC18" s="31">
        <f t="shared" si="44"/>
        <v>0</v>
      </c>
      <c r="BD18" s="31">
        <f t="shared" si="44"/>
        <v>0</v>
      </c>
      <c r="BE18" s="31">
        <f t="shared" si="44"/>
        <v>0</v>
      </c>
      <c r="BF18" s="31">
        <f t="shared" si="44"/>
        <v>0</v>
      </c>
      <c r="BG18" s="31">
        <f t="shared" si="44"/>
        <v>0</v>
      </c>
      <c r="BH18" s="31">
        <f t="shared" si="44"/>
        <v>0</v>
      </c>
      <c r="BI18" s="31">
        <f t="shared" si="44"/>
        <v>0</v>
      </c>
      <c r="BJ18" s="32">
        <f t="shared" si="44"/>
        <v>0</v>
      </c>
      <c r="BK18" s="31">
        <f t="shared" si="44"/>
        <v>0</v>
      </c>
      <c r="BL18" s="31">
        <f t="shared" si="44"/>
        <v>0</v>
      </c>
      <c r="BM18" s="31">
        <f t="shared" si="5"/>
        <v>0</v>
      </c>
      <c r="BN18" s="32" t="str">
        <f t="shared" si="30"/>
        <v xml:space="preserve"> </v>
      </c>
      <c r="BO18" s="32">
        <f t="shared" si="6"/>
        <v>0</v>
      </c>
      <c r="BP18" s="32" t="str">
        <f t="shared" si="7"/>
        <v xml:space="preserve"> </v>
      </c>
      <c r="BQ18" s="36"/>
      <c r="BR18" s="31">
        <f t="shared" ref="BR18:CA18" si="45">SUM(BR5,BR9,BR13,BR17)</f>
        <v>0</v>
      </c>
      <c r="BS18" s="31">
        <f t="shared" si="45"/>
        <v>0</v>
      </c>
      <c r="BT18" s="31">
        <f t="shared" si="45"/>
        <v>0</v>
      </c>
      <c r="BU18" s="31">
        <f t="shared" si="45"/>
        <v>0</v>
      </c>
      <c r="BV18" s="31">
        <f t="shared" si="45"/>
        <v>0</v>
      </c>
      <c r="BW18" s="31">
        <f t="shared" si="45"/>
        <v>0</v>
      </c>
      <c r="BX18" s="31">
        <f t="shared" si="45"/>
        <v>0</v>
      </c>
      <c r="BY18" s="31">
        <f t="shared" si="45"/>
        <v>0</v>
      </c>
      <c r="BZ18" s="31">
        <f t="shared" si="45"/>
        <v>0</v>
      </c>
      <c r="CA18" s="31">
        <f t="shared" si="45"/>
        <v>0</v>
      </c>
      <c r="CB18" s="37"/>
      <c r="CC18" s="38"/>
      <c r="CD18" s="31">
        <f t="shared" ref="CD18:CJ18" si="46">SUM(CD5,CD9,CD13,CD17)</f>
        <v>0</v>
      </c>
      <c r="CE18" s="31">
        <f t="shared" si="46"/>
        <v>0</v>
      </c>
      <c r="CF18" s="31">
        <f t="shared" si="46"/>
        <v>0</v>
      </c>
      <c r="CG18" s="31">
        <f t="shared" si="46"/>
        <v>0</v>
      </c>
      <c r="CH18" s="31">
        <f t="shared" si="46"/>
        <v>0</v>
      </c>
      <c r="CI18" s="39">
        <f t="shared" si="46"/>
        <v>0</v>
      </c>
      <c r="CJ18" s="39">
        <f t="shared" si="46"/>
        <v>0</v>
      </c>
      <c r="CK18" s="40"/>
    </row>
    <row r="19" spans="1:89" ht="15" customHeight="1" x14ac:dyDescent="0.3">
      <c r="AA19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Ouvidoria em Números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Rodrigues</dc:creator>
  <cp:lastModifiedBy>Marcus Rodrigues</cp:lastModifiedBy>
  <dcterms:created xsi:type="dcterms:W3CDTF">2024-10-10T18:40:38Z</dcterms:created>
  <dcterms:modified xsi:type="dcterms:W3CDTF">2024-10-10T18:41:16Z</dcterms:modified>
</cp:coreProperties>
</file>